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redal-my.sharepoint.com/personal/thiago_nyssens_credal_be/Documents/CLIENTS EN COURS/25 - TrèFLE/OUTIL V2/"/>
    </mc:Choice>
  </mc:AlternateContent>
  <xr:revisionPtr revIDLastSave="1823" documentId="8_{E54DF143-D0DE-437F-8A6E-4AEDE6B1C1BF}" xr6:coauthVersionLast="47" xr6:coauthVersionMax="47" xr10:uidLastSave="{3FBD1FF2-B8D5-4330-A46D-EE39D8D51121}"/>
  <bookViews>
    <workbookView xWindow="-108" yWindow="-108" windowWidth="23256" windowHeight="12456" tabRatio="826" firstSheet="12" activeTab="12" xr2:uid="{FBA2C1ED-64EA-4ABE-9F3A-F606E52DA2B7}"/>
  </bookViews>
  <sheets>
    <sheet name="0. MODE D'EMPLOI" sheetId="1" r:id="rId1"/>
    <sheet name="1. DONNEES DE BASE" sheetId="13" r:id="rId2"/>
    <sheet name="2. INVEST &amp; AMORT" sheetId="12" r:id="rId3"/>
    <sheet name="3. TCD - Synthèse INVEST" sheetId="15" r:id="rId4"/>
    <sheet name="Simulateur redevance BIO" sheetId="49" r:id="rId5"/>
    <sheet name="4. CHARGES FIXES" sheetId="16" r:id="rId6"/>
    <sheet name="5. RESUME GAMME - CACV" sheetId="4" r:id="rId7"/>
    <sheet name="6. Analyse Pareto" sheetId="39" r:id="rId8"/>
    <sheet name="7. Pareto - Graphique CA" sheetId="48" r:id="rId9"/>
    <sheet name="8. Matrice MENU ENGINEERING" sheetId="32" r:id="rId10"/>
    <sheet name="9. Capacité prod mensuelle" sheetId="6" r:id="rId11"/>
    <sheet name="10. BESOIN RH mensuel" sheetId="21" r:id="rId12"/>
    <sheet name="11. Résultats" sheetId="18" r:id="rId13"/>
    <sheet name="12. LISTE INGREDIENTS" sheetId="29" r:id="rId14"/>
    <sheet name="13. LISTE CONSOMMABLES" sheetId="33" r:id="rId15"/>
    <sheet name="14. CALCUL IMPOT" sheetId="27" r:id="rId16"/>
    <sheet name="15. REVENU NET HORAIRE" sheetId="50" r:id="rId17"/>
    <sheet name="FT_PROD (1)" sheetId="5" r:id="rId18"/>
    <sheet name="FT_PROD (2)" sheetId="41" r:id="rId19"/>
    <sheet name="FT_PROD (3)" sheetId="42" r:id="rId20"/>
    <sheet name="FT_PROD (4)" sheetId="43" r:id="rId21"/>
    <sheet name="FT_PROD (5)" sheetId="44" r:id="rId22"/>
    <sheet name="FT_PROD (6)" sheetId="45" r:id="rId23"/>
    <sheet name="FT_PROD (7)" sheetId="46" r:id="rId24"/>
    <sheet name="FT_PROD (8)" sheetId="47" r:id="rId25"/>
    <sheet name="Listes" sheetId="17" r:id="rId26"/>
  </sheets>
  <definedNames>
    <definedName name="Beg_Bal">#N/A</definedName>
    <definedName name="Data">#N/A</definedName>
    <definedName name="Dates">#REF!</definedName>
    <definedName name="Différé">#REF!</definedName>
    <definedName name="Durée_franchise">#REF!</definedName>
    <definedName name="End_Bal">#N/A</definedName>
    <definedName name="epaisseur_tranche_1">#REF!</definedName>
    <definedName name="epaisseur_tranche_1_an2">#REF!</definedName>
    <definedName name="epaisseur_tranche_1_an3">#REF!</definedName>
    <definedName name="epaisseur_tranche_2">#REF!</definedName>
    <definedName name="epaisseur_tranche_2_an2">#REF!</definedName>
    <definedName name="epaisseur_tranche_2_an3">#REF!</definedName>
    <definedName name="epaisseur_tranche_3">#REF!</definedName>
    <definedName name="epaisseur_tranche_4">#REF!</definedName>
    <definedName name="epaisseur_tranche_5">#REF!</definedName>
    <definedName name="Extra_Pay">#N/A</definedName>
    <definedName name="frais_variables">DATE(YEAR(#REF!),MONTH(#REF!)+Payment_Number,DAY(#REF!))</definedName>
    <definedName name="Full_Print">#N/A</definedName>
    <definedName name="Garantie">#REF!</definedName>
    <definedName name="Header_Row">#N/A</definedName>
    <definedName name="Impot_tr_1">#REF!</definedName>
    <definedName name="Impot_tr_2">#REF!</definedName>
    <definedName name="Impot_tr_2_an_2">#REF!</definedName>
    <definedName name="Impot_tr_3">#REF!</definedName>
    <definedName name="Impot_tr_4">#REF!</definedName>
    <definedName name="Impot_tr_5">#REF!</definedName>
    <definedName name="Int">#N/A</definedName>
    <definedName name="Interest_Rate">#N/A</definedName>
    <definedName name="Last_Row">IF(Values_Entered,Header_Row+Number_of_Payments,Header_Row)</definedName>
    <definedName name="liste_oui_non">#REF!</definedName>
    <definedName name="ListeConsommables" localSheetId="18">tblConsommables[Article]</definedName>
    <definedName name="ListeConsommables" localSheetId="19">tblConsommables[Article]</definedName>
    <definedName name="ListeConsommables" localSheetId="20">tblConsommables[Article]</definedName>
    <definedName name="ListeConsommables" localSheetId="21">tblConsommables[Article]</definedName>
    <definedName name="ListeConsommables" localSheetId="22">tblConsommables[Article]</definedName>
    <definedName name="ListeConsommables" localSheetId="23">tblConsommables[Article]</definedName>
    <definedName name="ListeConsommables" localSheetId="24">tblConsommables[Article]</definedName>
    <definedName name="ListeConsommables">tblConsommables[Article]</definedName>
    <definedName name="ListeIngredients" localSheetId="14">tblConsommables[Article]</definedName>
    <definedName name="ListeIngredients" localSheetId="18">tblIngredients[Article]</definedName>
    <definedName name="ListeIngredients" localSheetId="19">tblIngredients[Article]</definedName>
    <definedName name="ListeIngredients" localSheetId="20">tblIngredients[Article]</definedName>
    <definedName name="ListeIngredients" localSheetId="21">tblIngredients[Article]</definedName>
    <definedName name="ListeIngredients" localSheetId="22">tblIngredients[Article]</definedName>
    <definedName name="ListeIngredients" localSheetId="23">tblIngredients[Article]</definedName>
    <definedName name="ListeIngredients" localSheetId="24">tblIngredients[Article]</definedName>
    <definedName name="ListeIngredients">tblIngredients[Article]</definedName>
    <definedName name="Loan_Amount">#N/A</definedName>
    <definedName name="Loan_Start">#N/A</definedName>
    <definedName name="Loan_Years">#N/A</definedName>
    <definedName name="NbMois">#REF!</definedName>
    <definedName name="Num_Pmt_Per_Year">#N/A</definedName>
    <definedName name="Number_of_Payments">MATCH(0.01,End_Bal,-1)+1</definedName>
    <definedName name="ok_voir_commentaires">#REF!</definedName>
    <definedName name="Pay_Date">#N/A</definedName>
    <definedName name="Pay_Num">#N/A</definedName>
    <definedName name="Payment_Date">DATE(YEAR(Loan_Start),MONTH(Loan_Start)+Payment_Number,DAY(Loan_Start))</definedName>
    <definedName name="Plafond_1">#REF!</definedName>
    <definedName name="Plafond_2">#REF!</definedName>
    <definedName name="Plafond_3">#REF!</definedName>
    <definedName name="Plafond_4">#REF!</definedName>
    <definedName name="Plafond_5">#REF!</definedName>
    <definedName name="Plancher_1">#REF!</definedName>
    <definedName name="Plancher_2">#REF!</definedName>
    <definedName name="Plancher_3">#REF!</definedName>
    <definedName name="Plancher_4">#REF!</definedName>
    <definedName name="Plancher_5">#REF!</definedName>
    <definedName name="Princ">#N/A</definedName>
    <definedName name="Print_Area_Reset">OFFSET(Full_Print,0,0,Last_Row)</definedName>
    <definedName name="Res_imp_annee_1">#REF!</definedName>
    <definedName name="Res_imp_annee_2">#REF!</definedName>
    <definedName name="Res_imp_annee_3">#REF!</definedName>
    <definedName name="Sched_Pay">#N/A</definedName>
    <definedName name="Scheduled_Extra_Payments">#N/A</definedName>
    <definedName name="Scheduled_Interest_Rate">#N/A</definedName>
    <definedName name="Scheduled_Monthly_Payment">#N/A</definedName>
    <definedName name="Taux_1">#REF!</definedName>
    <definedName name="Taux_2">#REF!</definedName>
    <definedName name="Taux_3">#REF!</definedName>
    <definedName name="Taux_4">#REF!</definedName>
    <definedName name="Taux_5">#REF!</definedName>
    <definedName name="Total_Interest">#N/A</definedName>
    <definedName name="Total_Pay">#N/A</definedName>
    <definedName name="Total_Payment">Scheduled_Payment+Extra_Payment</definedName>
    <definedName name="Trance_4_active">#REF!</definedName>
    <definedName name="Trance_5_active">#REF!</definedName>
    <definedName name="Tranche_4_active">#REF!</definedName>
    <definedName name="Tranche_5_Active">#REF!</definedName>
    <definedName name="tranche_finale_1">#REF!</definedName>
    <definedName name="tranche_finale_1_an_3">#REF!</definedName>
    <definedName name="tranche_finale_2">#REF!</definedName>
    <definedName name="tranche_finale_2_an_2">#REF!</definedName>
    <definedName name="tranche_finale_2_an_3">#REF!</definedName>
    <definedName name="tranche_finale_3">#REF!</definedName>
    <definedName name="tranche_finale_4">#REF!</definedName>
    <definedName name="tranche_finale_5">#REF!</definedName>
    <definedName name="tranche_finale_an_2">#REF!</definedName>
    <definedName name="types_crédit">#REF!</definedName>
    <definedName name="Values_Entered">IF(Loan_Amount*Interest_Rate*Loan_Years*Loan_Start&gt;0,1,0)</definedName>
    <definedName name="Versements_supplémentaires_facultatifs">#N/A</definedName>
    <definedName name="_xlnm.Print_Area" localSheetId="12">'11. Résultats'!$A$9:$F$96</definedName>
    <definedName name="_xlnm.Print_Area" localSheetId="2">'2. INVEST &amp; AMORT'!$A$6:$W$41</definedName>
    <definedName name="_xlnm.Print_Area" localSheetId="5">'4. CHARGES FIXES'!$A$7:$L$97</definedName>
    <definedName name="_xlnm.Print_Area" localSheetId="17">'FT_PROD (1)'!$A$1:$I$54</definedName>
    <definedName name="_xlnm.Print_Area" localSheetId="18">'FT_PROD (2)'!$A$1:$I$54</definedName>
    <definedName name="_xlnm.Print_Area" localSheetId="19">'FT_PROD (3)'!$A$1:$I$54</definedName>
    <definedName name="_xlnm.Print_Area" localSheetId="20">'FT_PROD (4)'!$A$1:$I$54</definedName>
    <definedName name="_xlnm.Print_Area" localSheetId="21">'FT_PROD (5)'!$A$1:$I$54</definedName>
    <definedName name="_xlnm.Print_Area" localSheetId="22">'FT_PROD (6)'!$A$1:$I$54</definedName>
    <definedName name="_xlnm.Print_Area" localSheetId="23">'FT_PROD (7)'!$A$1:$I$54</definedName>
    <definedName name="_xlnm.Print_Area" localSheetId="24">'FT_PROD (8)'!$A$1:$I$54</definedName>
  </definedNames>
  <calcPr calcId="191029"/>
  <pivotCaches>
    <pivotCache cacheId="0" r:id="rId2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27" l="1"/>
  <c r="D13" i="27"/>
  <c r="D8" i="50" s="1"/>
  <c r="C13" i="27"/>
  <c r="B13" i="27"/>
  <c r="E8" i="50"/>
  <c r="B6" i="50"/>
  <c r="B73" i="27"/>
  <c r="D73" i="27"/>
  <c r="E73" i="27"/>
  <c r="B71" i="27"/>
  <c r="C71" i="27"/>
  <c r="C73" i="27" s="1"/>
  <c r="D71" i="27"/>
  <c r="E71" i="27"/>
  <c r="A66" i="27"/>
  <c r="B59" i="27"/>
  <c r="E59" i="27"/>
  <c r="B57" i="27"/>
  <c r="C57" i="27"/>
  <c r="C59" i="27" s="1"/>
  <c r="D57" i="27"/>
  <c r="D59" i="27" s="1"/>
  <c r="E57" i="27"/>
  <c r="A52" i="27"/>
  <c r="A35" i="27"/>
  <c r="A44" i="27" s="1"/>
  <c r="B22" i="27"/>
  <c r="B22" i="50" s="1"/>
  <c r="B21" i="27"/>
  <c r="B11" i="50" s="1"/>
  <c r="B18" i="27"/>
  <c r="B12" i="50" s="1"/>
  <c r="B13" i="50" s="1"/>
  <c r="C18" i="27"/>
  <c r="C12" i="50" s="1"/>
  <c r="C13" i="50" s="1"/>
  <c r="D18" i="27"/>
  <c r="D12" i="50" s="1"/>
  <c r="D13" i="50" s="1"/>
  <c r="E18" i="27"/>
  <c r="E12" i="50" s="1"/>
  <c r="E13" i="50" s="1"/>
  <c r="B8" i="50"/>
  <c r="C8" i="50"/>
  <c r="D19" i="27" l="1"/>
  <c r="D20" i="27" s="1"/>
  <c r="D23" i="27" s="1"/>
  <c r="E19" i="27"/>
  <c r="E20" i="27" s="1"/>
  <c r="E23" i="27" s="1"/>
  <c r="C19" i="27"/>
  <c r="C20" i="27" s="1"/>
  <c r="C23" i="27" s="1"/>
  <c r="B19" i="27"/>
  <c r="B20" i="27" s="1"/>
  <c r="B23" i="27" s="1"/>
  <c r="B23" i="50" l="1"/>
  <c r="B24" i="50" s="1"/>
  <c r="B33" i="50" s="1"/>
  <c r="B24" i="27"/>
  <c r="C24" i="27"/>
  <c r="C23" i="50"/>
  <c r="C24" i="50" s="1"/>
  <c r="C33" i="50" s="1"/>
  <c r="E24" i="27"/>
  <c r="E23" i="50"/>
  <c r="E24" i="50" s="1"/>
  <c r="E33" i="50" s="1"/>
  <c r="D24" i="27"/>
  <c r="D23" i="50"/>
  <c r="D24" i="50" s="1"/>
  <c r="D33" i="50" s="1"/>
  <c r="D62" i="18" l="1"/>
  <c r="E62" i="18" s="1"/>
  <c r="F62" i="18" s="1"/>
  <c r="C62" i="18"/>
  <c r="D58" i="18"/>
  <c r="C58" i="18"/>
  <c r="D33" i="18"/>
  <c r="D39" i="18"/>
  <c r="F39" i="18" s="1"/>
  <c r="C39" i="18"/>
  <c r="E7" i="13"/>
  <c r="C7" i="13"/>
  <c r="B7" i="13"/>
  <c r="A8" i="13"/>
  <c r="R17" i="21"/>
  <c r="R19" i="21"/>
  <c r="R20" i="21"/>
  <c r="R21" i="21"/>
  <c r="R22" i="21"/>
  <c r="R23" i="21"/>
  <c r="R24" i="21"/>
  <c r="R25" i="21"/>
  <c r="R16" i="21"/>
  <c r="A60" i="6"/>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59" i="6"/>
  <c r="A58" i="6"/>
  <c r="A57" i="6"/>
  <c r="D12" i="6"/>
  <c r="E12" i="6"/>
  <c r="F12" i="6"/>
  <c r="G12" i="6"/>
  <c r="H12" i="6"/>
  <c r="I12" i="6"/>
  <c r="J12" i="6"/>
  <c r="K12" i="6"/>
  <c r="L12" i="6"/>
  <c r="M12" i="6"/>
  <c r="N12" i="6"/>
  <c r="O12" i="6"/>
  <c r="P12" i="6"/>
  <c r="Q12" i="6"/>
  <c r="R12" i="6"/>
  <c r="C12" i="6"/>
  <c r="C10" i="21"/>
  <c r="I83" i="16"/>
  <c r="J83" i="16"/>
  <c r="B55" i="49"/>
  <c r="A55" i="49"/>
  <c r="E35" i="49"/>
  <c r="C35" i="49"/>
  <c r="E34" i="49"/>
  <c r="C34" i="49"/>
  <c r="E33" i="49"/>
  <c r="C33" i="49"/>
  <c r="B29" i="49"/>
  <c r="B22" i="49"/>
  <c r="B12" i="49"/>
  <c r="B10" i="49"/>
  <c r="A56" i="49" s="1"/>
  <c r="B7" i="49"/>
  <c r="A8" i="48"/>
  <c r="B8" i="48"/>
  <c r="C8" i="48"/>
  <c r="A9" i="48"/>
  <c r="B9" i="48"/>
  <c r="C9" i="48"/>
  <c r="A10" i="48"/>
  <c r="B10" i="48"/>
  <c r="C10" i="48"/>
  <c r="A11" i="48"/>
  <c r="B11" i="48"/>
  <c r="C11" i="48"/>
  <c r="A12" i="48"/>
  <c r="B12" i="48"/>
  <c r="C12" i="48"/>
  <c r="A13" i="48"/>
  <c r="B13" i="48"/>
  <c r="C13" i="48"/>
  <c r="A14" i="48"/>
  <c r="B14" i="48"/>
  <c r="C14" i="48"/>
  <c r="A15" i="48"/>
  <c r="B15" i="48"/>
  <c r="C15" i="48"/>
  <c r="A16" i="48"/>
  <c r="B16" i="48"/>
  <c r="C16" i="48"/>
  <c r="A17" i="48"/>
  <c r="B17" i="48"/>
  <c r="C17" i="48"/>
  <c r="B47" i="6"/>
  <c r="B46" i="6"/>
  <c r="B45" i="6"/>
  <c r="B44" i="6"/>
  <c r="B43" i="6"/>
  <c r="B42" i="6"/>
  <c r="B41" i="6"/>
  <c r="B40" i="6"/>
  <c r="B39" i="6"/>
  <c r="B38" i="6"/>
  <c r="B37" i="6"/>
  <c r="B36" i="6"/>
  <c r="A1" i="39"/>
  <c r="A10" i="39" a="1"/>
  <c r="A10" i="39"/>
  <c r="A16" i="39" a="1"/>
  <c r="A16" i="39" s="1"/>
  <c r="D73" i="47"/>
  <c r="C73" i="47"/>
  <c r="H72" i="47"/>
  <c r="J72" i="47" s="1" a="1"/>
  <c r="J72" i="47" s="1"/>
  <c r="E72" i="47"/>
  <c r="H71" i="47"/>
  <c r="J71" i="47" s="1" a="1"/>
  <c r="J71" i="47" s="1"/>
  <c r="E71" i="47"/>
  <c r="H70" i="47"/>
  <c r="J70" i="47" s="1" a="1"/>
  <c r="J70" i="47" s="1"/>
  <c r="E70" i="47"/>
  <c r="H69" i="47"/>
  <c r="J69" i="47" s="1" a="1"/>
  <c r="J69" i="47" s="1"/>
  <c r="E69" i="47"/>
  <c r="H68" i="47"/>
  <c r="J68" i="47" s="1" a="1"/>
  <c r="J68" i="47" s="1"/>
  <c r="E68" i="47"/>
  <c r="H67" i="47"/>
  <c r="J67" i="47" s="1" a="1"/>
  <c r="J67" i="47" s="1"/>
  <c r="E67" i="47"/>
  <c r="H66" i="47"/>
  <c r="J66" i="47" s="1" a="1"/>
  <c r="J66" i="47" s="1"/>
  <c r="E66" i="47"/>
  <c r="H65" i="47"/>
  <c r="J65" i="47" s="1" a="1"/>
  <c r="J65" i="47" s="1"/>
  <c r="E65" i="47"/>
  <c r="H64" i="47"/>
  <c r="J64" i="47" s="1" a="1"/>
  <c r="J64" i="47" s="1"/>
  <c r="E64" i="47"/>
  <c r="H63" i="47"/>
  <c r="J63" i="47" s="1" a="1"/>
  <c r="J63" i="47" s="1"/>
  <c r="E63" i="47"/>
  <c r="H62" i="47"/>
  <c r="J62" i="47" s="1" a="1"/>
  <c r="J62" i="47" s="1"/>
  <c r="E62" i="47"/>
  <c r="H61" i="47"/>
  <c r="H73" i="47" s="1"/>
  <c r="E61" i="47"/>
  <c r="E73" i="47" s="1"/>
  <c r="G49" i="47"/>
  <c r="G42" i="47"/>
  <c r="H42" i="47" s="1"/>
  <c r="E42" i="47"/>
  <c r="D42" i="47"/>
  <c r="C42" i="47"/>
  <c r="G41" i="47"/>
  <c r="H41" i="47" s="1"/>
  <c r="E41" i="47"/>
  <c r="D41" i="47"/>
  <c r="C41" i="47"/>
  <c r="H40" i="47"/>
  <c r="G40" i="47"/>
  <c r="E40" i="47"/>
  <c r="D40" i="47"/>
  <c r="C40" i="47"/>
  <c r="G39" i="47"/>
  <c r="H39" i="47" s="1"/>
  <c r="E39" i="47"/>
  <c r="D39" i="47"/>
  <c r="C39" i="47"/>
  <c r="G38" i="47"/>
  <c r="H38" i="47" s="1"/>
  <c r="E38" i="47"/>
  <c r="D38" i="47"/>
  <c r="C38" i="47"/>
  <c r="G37" i="47"/>
  <c r="E37" i="47"/>
  <c r="D37" i="47"/>
  <c r="C37" i="47"/>
  <c r="E36" i="47"/>
  <c r="G36" i="47" s="1"/>
  <c r="D36" i="47"/>
  <c r="C36" i="47"/>
  <c r="E35" i="47"/>
  <c r="G35" i="47" s="1"/>
  <c r="D35" i="47"/>
  <c r="C35" i="47"/>
  <c r="E34" i="47"/>
  <c r="G34" i="47" s="1"/>
  <c r="D34" i="47"/>
  <c r="C34" i="47"/>
  <c r="G32" i="47"/>
  <c r="H32" i="47" s="1"/>
  <c r="E32" i="47"/>
  <c r="D32" i="47"/>
  <c r="C32" i="47"/>
  <c r="G31" i="47"/>
  <c r="H31" i="47" s="1"/>
  <c r="E31" i="47"/>
  <c r="D31" i="47"/>
  <c r="C31" i="47"/>
  <c r="G30" i="47"/>
  <c r="H30" i="47" s="1"/>
  <c r="E30" i="47"/>
  <c r="D30" i="47"/>
  <c r="C30" i="47"/>
  <c r="H29" i="47"/>
  <c r="G29" i="47"/>
  <c r="E29" i="47"/>
  <c r="D29" i="47"/>
  <c r="C29" i="47"/>
  <c r="G27" i="47"/>
  <c r="H27" i="47" s="1"/>
  <c r="E27" i="47"/>
  <c r="D27" i="47"/>
  <c r="C27" i="47"/>
  <c r="G26" i="47"/>
  <c r="H26" i="47" s="1"/>
  <c r="E26" i="47"/>
  <c r="D26" i="47"/>
  <c r="C26" i="47"/>
  <c r="G25" i="47"/>
  <c r="H25" i="47" s="1"/>
  <c r="E25" i="47"/>
  <c r="D25" i="47"/>
  <c r="C25" i="47"/>
  <c r="H24" i="47"/>
  <c r="G24" i="47"/>
  <c r="E24" i="47"/>
  <c r="D24" i="47"/>
  <c r="C24" i="47"/>
  <c r="G23" i="47"/>
  <c r="H23" i="47" s="1"/>
  <c r="E23" i="47"/>
  <c r="D23" i="47"/>
  <c r="C23" i="47"/>
  <c r="G22" i="47"/>
  <c r="H22" i="47" s="1"/>
  <c r="E22" i="47"/>
  <c r="D22" i="47"/>
  <c r="C22" i="47"/>
  <c r="G21" i="47"/>
  <c r="E21" i="47"/>
  <c r="D21" i="47"/>
  <c r="C21" i="47"/>
  <c r="E20" i="47"/>
  <c r="G20" i="47" s="1"/>
  <c r="D20" i="47"/>
  <c r="C20" i="47"/>
  <c r="E19" i="47"/>
  <c r="G19" i="47" s="1"/>
  <c r="D19" i="47"/>
  <c r="C19" i="47"/>
  <c r="E18" i="47"/>
  <c r="G18" i="47" s="1"/>
  <c r="D18" i="47"/>
  <c r="C18" i="47"/>
  <c r="G17" i="47"/>
  <c r="E17" i="47"/>
  <c r="D17" i="47"/>
  <c r="C17" i="47"/>
  <c r="D13" i="47"/>
  <c r="D12" i="47"/>
  <c r="G10" i="47"/>
  <c r="K49" i="47" s="1"/>
  <c r="D7" i="47"/>
  <c r="D9" i="47" s="1"/>
  <c r="D73" i="46"/>
  <c r="C73" i="46"/>
  <c r="H72" i="46"/>
  <c r="J72" i="46" s="1" a="1"/>
  <c r="J72" i="46" s="1"/>
  <c r="E72" i="46"/>
  <c r="J71" i="46" a="1"/>
  <c r="J71" i="46" s="1"/>
  <c r="H71" i="46"/>
  <c r="E71" i="46"/>
  <c r="H70" i="46"/>
  <c r="J70" i="46" s="1" a="1"/>
  <c r="J70" i="46" s="1"/>
  <c r="E70" i="46"/>
  <c r="J69" i="46" a="1"/>
  <c r="J69" i="46" s="1"/>
  <c r="H69" i="46"/>
  <c r="E69" i="46"/>
  <c r="H68" i="46"/>
  <c r="J68" i="46" s="1" a="1"/>
  <c r="J68" i="46" s="1"/>
  <c r="E68" i="46"/>
  <c r="J67" i="46" a="1"/>
  <c r="J67" i="46" s="1"/>
  <c r="H67" i="46"/>
  <c r="E67" i="46"/>
  <c r="H66" i="46"/>
  <c r="J66" i="46" s="1" a="1"/>
  <c r="J66" i="46" s="1"/>
  <c r="E66" i="46"/>
  <c r="J65" i="46" a="1"/>
  <c r="J65" i="46" s="1"/>
  <c r="H65" i="46"/>
  <c r="E65" i="46"/>
  <c r="H64" i="46"/>
  <c r="J64" i="46" s="1" a="1"/>
  <c r="J64" i="46" s="1"/>
  <c r="E64" i="46"/>
  <c r="J63" i="46" a="1"/>
  <c r="J63" i="46" s="1"/>
  <c r="H63" i="46"/>
  <c r="E63" i="46"/>
  <c r="H62" i="46"/>
  <c r="J62" i="46" s="1" a="1"/>
  <c r="J62" i="46" s="1"/>
  <c r="E62" i="46"/>
  <c r="E73" i="46" s="1"/>
  <c r="J61" i="46" a="1"/>
  <c r="J61" i="46" s="1"/>
  <c r="H61" i="46"/>
  <c r="E61" i="46"/>
  <c r="K49" i="46"/>
  <c r="G49" i="46"/>
  <c r="G42" i="46"/>
  <c r="H42" i="46" s="1"/>
  <c r="E42" i="46"/>
  <c r="D42" i="46"/>
  <c r="C42" i="46"/>
  <c r="G41" i="46"/>
  <c r="H41" i="46" s="1"/>
  <c r="E41" i="46"/>
  <c r="D41" i="46"/>
  <c r="C41" i="46"/>
  <c r="G40" i="46"/>
  <c r="H40" i="46" s="1"/>
  <c r="E40" i="46"/>
  <c r="D40" i="46"/>
  <c r="C40" i="46"/>
  <c r="H39" i="46"/>
  <c r="G39" i="46"/>
  <c r="E39" i="46"/>
  <c r="D39" i="46"/>
  <c r="C39" i="46"/>
  <c r="H38" i="46"/>
  <c r="G38" i="46"/>
  <c r="E38" i="46"/>
  <c r="D38" i="46"/>
  <c r="C38" i="46"/>
  <c r="E37" i="46"/>
  <c r="G37" i="46" s="1"/>
  <c r="D37" i="46"/>
  <c r="C37" i="46"/>
  <c r="G36" i="46"/>
  <c r="E36" i="46"/>
  <c r="D36" i="46"/>
  <c r="C36" i="46"/>
  <c r="G35" i="46"/>
  <c r="E35" i="46"/>
  <c r="D35" i="46"/>
  <c r="C35" i="46"/>
  <c r="G34" i="46"/>
  <c r="E34" i="46"/>
  <c r="D34" i="46"/>
  <c r="C34" i="46"/>
  <c r="H32" i="46"/>
  <c r="G32" i="46"/>
  <c r="E32" i="46"/>
  <c r="D32" i="46"/>
  <c r="C32" i="46"/>
  <c r="H31" i="46"/>
  <c r="G31" i="46"/>
  <c r="E31" i="46"/>
  <c r="D31" i="46"/>
  <c r="C31" i="46"/>
  <c r="H30" i="46"/>
  <c r="G30" i="46"/>
  <c r="E30" i="46"/>
  <c r="D30" i="46"/>
  <c r="C30" i="46"/>
  <c r="G29" i="46"/>
  <c r="H29" i="46" s="1"/>
  <c r="E29" i="46"/>
  <c r="D29" i="46"/>
  <c r="C29" i="46"/>
  <c r="H27" i="46"/>
  <c r="G27" i="46"/>
  <c r="E27" i="46"/>
  <c r="D27" i="46"/>
  <c r="C27" i="46"/>
  <c r="G26" i="46"/>
  <c r="H26" i="46" s="1"/>
  <c r="E26" i="46"/>
  <c r="D26" i="46"/>
  <c r="C26" i="46"/>
  <c r="H25" i="46"/>
  <c r="G25" i="46"/>
  <c r="E25" i="46"/>
  <c r="D25" i="46"/>
  <c r="C25" i="46"/>
  <c r="G24" i="46"/>
  <c r="H24" i="46" s="1"/>
  <c r="E24" i="46"/>
  <c r="D24" i="46"/>
  <c r="C24" i="46"/>
  <c r="H23" i="46"/>
  <c r="G23" i="46"/>
  <c r="E23" i="46"/>
  <c r="D23" i="46"/>
  <c r="C23" i="46"/>
  <c r="H22" i="46"/>
  <c r="G22" i="46"/>
  <c r="E22" i="46"/>
  <c r="D22" i="46"/>
  <c r="C22" i="46"/>
  <c r="E21" i="46"/>
  <c r="G21" i="46" s="1"/>
  <c r="D21" i="46"/>
  <c r="C21" i="46"/>
  <c r="G20" i="46"/>
  <c r="E20" i="46"/>
  <c r="D20" i="46"/>
  <c r="C20" i="46"/>
  <c r="G19" i="46"/>
  <c r="E19" i="46"/>
  <c r="D19" i="46"/>
  <c r="C19" i="46"/>
  <c r="G18" i="46"/>
  <c r="E18" i="46"/>
  <c r="D18" i="46"/>
  <c r="C18" i="46"/>
  <c r="E17" i="46"/>
  <c r="G17" i="46" s="1"/>
  <c r="D17" i="46"/>
  <c r="C17" i="46"/>
  <c r="D12" i="46"/>
  <c r="G10" i="46"/>
  <c r="D13" i="46" s="1"/>
  <c r="D9" i="46"/>
  <c r="D7" i="46"/>
  <c r="D73" i="45"/>
  <c r="C73" i="45"/>
  <c r="H72" i="45"/>
  <c r="J72" i="45" s="1" a="1"/>
  <c r="J72" i="45" s="1"/>
  <c r="E72" i="45"/>
  <c r="H71" i="45"/>
  <c r="J71" i="45" s="1" a="1"/>
  <c r="J71" i="45" s="1"/>
  <c r="E71" i="45"/>
  <c r="H70" i="45"/>
  <c r="J70" i="45" s="1" a="1"/>
  <c r="J70" i="45" s="1"/>
  <c r="E70" i="45"/>
  <c r="H69" i="45"/>
  <c r="J69" i="45" s="1" a="1"/>
  <c r="J69" i="45" s="1"/>
  <c r="E69" i="45"/>
  <c r="H68" i="45"/>
  <c r="J68" i="45" s="1" a="1"/>
  <c r="J68" i="45" s="1"/>
  <c r="E68" i="45"/>
  <c r="H67" i="45"/>
  <c r="J67" i="45" s="1" a="1"/>
  <c r="J67" i="45" s="1"/>
  <c r="E67" i="45"/>
  <c r="H66" i="45"/>
  <c r="J66" i="45" s="1" a="1"/>
  <c r="J66" i="45" s="1"/>
  <c r="E66" i="45"/>
  <c r="H65" i="45"/>
  <c r="J65" i="45" s="1" a="1"/>
  <c r="J65" i="45" s="1"/>
  <c r="E65" i="45"/>
  <c r="H64" i="45"/>
  <c r="J64" i="45" s="1" a="1"/>
  <c r="J64" i="45" s="1"/>
  <c r="E64" i="45"/>
  <c r="H63" i="45"/>
  <c r="J63" i="45" s="1" a="1"/>
  <c r="J63" i="45" s="1"/>
  <c r="E63" i="45"/>
  <c r="H62" i="45"/>
  <c r="J62" i="45" s="1" a="1"/>
  <c r="J62" i="45" s="1"/>
  <c r="E62" i="45"/>
  <c r="H61" i="45"/>
  <c r="H73" i="45" s="1"/>
  <c r="E61" i="45"/>
  <c r="E73" i="45" s="1"/>
  <c r="G49" i="45"/>
  <c r="G42" i="45"/>
  <c r="H42" i="45" s="1"/>
  <c r="E42" i="45"/>
  <c r="D42" i="45"/>
  <c r="C42" i="45"/>
  <c r="G41" i="45"/>
  <c r="H41" i="45" s="1"/>
  <c r="E41" i="45"/>
  <c r="D41" i="45"/>
  <c r="C41" i="45"/>
  <c r="H40" i="45"/>
  <c r="G40" i="45"/>
  <c r="E40" i="45"/>
  <c r="D40" i="45"/>
  <c r="C40" i="45"/>
  <c r="G39" i="45"/>
  <c r="H39" i="45" s="1"/>
  <c r="E39" i="45"/>
  <c r="D39" i="45"/>
  <c r="C39" i="45"/>
  <c r="G38" i="45"/>
  <c r="H38" i="45" s="1"/>
  <c r="E38" i="45"/>
  <c r="D38" i="45"/>
  <c r="C38" i="45"/>
  <c r="G37" i="45"/>
  <c r="E37" i="45"/>
  <c r="D37" i="45"/>
  <c r="C37" i="45"/>
  <c r="E36" i="45"/>
  <c r="G36" i="45" s="1"/>
  <c r="D36" i="45"/>
  <c r="C36" i="45"/>
  <c r="G35" i="45"/>
  <c r="E35" i="45"/>
  <c r="D35" i="45"/>
  <c r="C35" i="45"/>
  <c r="E34" i="45"/>
  <c r="G34" i="45" s="1"/>
  <c r="D34" i="45"/>
  <c r="C34" i="45"/>
  <c r="G32" i="45"/>
  <c r="H32" i="45" s="1"/>
  <c r="E32" i="45"/>
  <c r="D32" i="45"/>
  <c r="C32" i="45"/>
  <c r="H31" i="45"/>
  <c r="G31" i="45"/>
  <c r="E31" i="45"/>
  <c r="D31" i="45"/>
  <c r="C31" i="45"/>
  <c r="G30" i="45"/>
  <c r="H30" i="45" s="1"/>
  <c r="E30" i="45"/>
  <c r="D30" i="45"/>
  <c r="C30" i="45"/>
  <c r="H29" i="45"/>
  <c r="G29" i="45"/>
  <c r="E29" i="45"/>
  <c r="D29" i="45"/>
  <c r="C29" i="45"/>
  <c r="G27" i="45"/>
  <c r="H27" i="45" s="1"/>
  <c r="E27" i="45"/>
  <c r="D27" i="45"/>
  <c r="C27" i="45"/>
  <c r="G26" i="45"/>
  <c r="H26" i="45" s="1"/>
  <c r="E26" i="45"/>
  <c r="D26" i="45"/>
  <c r="C26" i="45"/>
  <c r="G25" i="45"/>
  <c r="H25" i="45" s="1"/>
  <c r="E25" i="45"/>
  <c r="D25" i="45"/>
  <c r="C25" i="45"/>
  <c r="H24" i="45"/>
  <c r="G24" i="45"/>
  <c r="E24" i="45"/>
  <c r="D24" i="45"/>
  <c r="C24" i="45"/>
  <c r="G23" i="45"/>
  <c r="H23" i="45" s="1"/>
  <c r="E23" i="45"/>
  <c r="D23" i="45"/>
  <c r="C23" i="45"/>
  <c r="H22" i="45"/>
  <c r="G22" i="45"/>
  <c r="E22" i="45"/>
  <c r="D22" i="45"/>
  <c r="C22" i="45"/>
  <c r="G21" i="45"/>
  <c r="H21" i="45" s="1"/>
  <c r="E21" i="45"/>
  <c r="D21" i="45"/>
  <c r="C21" i="45"/>
  <c r="E20" i="45"/>
  <c r="G20" i="45" s="1"/>
  <c r="D20" i="45"/>
  <c r="C20" i="45"/>
  <c r="G19" i="45"/>
  <c r="E19" i="45"/>
  <c r="D19" i="45"/>
  <c r="C19" i="45"/>
  <c r="E18" i="45"/>
  <c r="G18" i="45" s="1"/>
  <c r="D18" i="45"/>
  <c r="C18" i="45"/>
  <c r="G17" i="45"/>
  <c r="G33" i="45" s="1"/>
  <c r="E17" i="45"/>
  <c r="D17" i="45"/>
  <c r="C17" i="45"/>
  <c r="D13" i="45"/>
  <c r="D12" i="45"/>
  <c r="G10" i="45"/>
  <c r="K49" i="45" s="1"/>
  <c r="D7" i="45"/>
  <c r="D9" i="45" s="1"/>
  <c r="D73" i="44"/>
  <c r="C73" i="44"/>
  <c r="H72" i="44"/>
  <c r="J72" i="44" s="1" a="1"/>
  <c r="J72" i="44" s="1"/>
  <c r="E72" i="44"/>
  <c r="H71" i="44"/>
  <c r="J71" i="44" s="1" a="1"/>
  <c r="J71" i="44" s="1"/>
  <c r="E71" i="44"/>
  <c r="H70" i="44"/>
  <c r="J70" i="44" s="1" a="1"/>
  <c r="J70" i="44" s="1"/>
  <c r="E70" i="44"/>
  <c r="H69" i="44"/>
  <c r="J69" i="44" s="1" a="1"/>
  <c r="J69" i="44" s="1"/>
  <c r="E69" i="44"/>
  <c r="H68" i="44"/>
  <c r="J68" i="44" s="1" a="1"/>
  <c r="J68" i="44" s="1"/>
  <c r="E68" i="44"/>
  <c r="H67" i="44"/>
  <c r="J67" i="44" s="1" a="1"/>
  <c r="J67" i="44" s="1"/>
  <c r="E67" i="44"/>
  <c r="H66" i="44"/>
  <c r="J66" i="44" s="1" a="1"/>
  <c r="J66" i="44" s="1"/>
  <c r="E66" i="44"/>
  <c r="H65" i="44"/>
  <c r="J65" i="44" s="1" a="1"/>
  <c r="J65" i="44" s="1"/>
  <c r="E65" i="44"/>
  <c r="H64" i="44"/>
  <c r="J64" i="44" s="1" a="1"/>
  <c r="J64" i="44" s="1"/>
  <c r="E64" i="44"/>
  <c r="H63" i="44"/>
  <c r="J63" i="44" s="1" a="1"/>
  <c r="J63" i="44" s="1"/>
  <c r="E63" i="44"/>
  <c r="H62" i="44"/>
  <c r="J62" i="44" s="1" a="1"/>
  <c r="J62" i="44" s="1"/>
  <c r="E62" i="44"/>
  <c r="H61" i="44"/>
  <c r="H73" i="44" s="1"/>
  <c r="E61" i="44"/>
  <c r="E73" i="44" s="1"/>
  <c r="G49" i="44"/>
  <c r="G42" i="44"/>
  <c r="H42" i="44" s="1"/>
  <c r="E42" i="44"/>
  <c r="D42" i="44"/>
  <c r="C42" i="44"/>
  <c r="G41" i="44"/>
  <c r="H41" i="44" s="1"/>
  <c r="E41" i="44"/>
  <c r="D41" i="44"/>
  <c r="C41" i="44"/>
  <c r="H40" i="44"/>
  <c r="G40" i="44"/>
  <c r="E40" i="44"/>
  <c r="D40" i="44"/>
  <c r="C40" i="44"/>
  <c r="G39" i="44"/>
  <c r="H39" i="44" s="1"/>
  <c r="E39" i="44"/>
  <c r="D39" i="44"/>
  <c r="C39" i="44"/>
  <c r="G38" i="44"/>
  <c r="H38" i="44" s="1"/>
  <c r="E38" i="44"/>
  <c r="D38" i="44"/>
  <c r="C38" i="44"/>
  <c r="G37" i="44"/>
  <c r="E37" i="44"/>
  <c r="D37" i="44"/>
  <c r="C37" i="44"/>
  <c r="E36" i="44"/>
  <c r="G36" i="44" s="1"/>
  <c r="D36" i="44"/>
  <c r="C36" i="44"/>
  <c r="E35" i="44"/>
  <c r="G35" i="44" s="1"/>
  <c r="D35" i="44"/>
  <c r="C35" i="44"/>
  <c r="E34" i="44"/>
  <c r="G34" i="44" s="1"/>
  <c r="D34" i="44"/>
  <c r="C34" i="44"/>
  <c r="H32" i="44"/>
  <c r="G32" i="44"/>
  <c r="E32" i="44"/>
  <c r="D32" i="44"/>
  <c r="C32" i="44"/>
  <c r="G31" i="44"/>
  <c r="H31" i="44" s="1"/>
  <c r="E31" i="44"/>
  <c r="D31" i="44"/>
  <c r="C31" i="44"/>
  <c r="G30" i="44"/>
  <c r="H30" i="44" s="1"/>
  <c r="E30" i="44"/>
  <c r="D30" i="44"/>
  <c r="C30" i="44"/>
  <c r="H29" i="44"/>
  <c r="G29" i="44"/>
  <c r="E29" i="44"/>
  <c r="D29" i="44"/>
  <c r="C29" i="44"/>
  <c r="G27" i="44"/>
  <c r="H27" i="44" s="1"/>
  <c r="E27" i="44"/>
  <c r="D27" i="44"/>
  <c r="C27" i="44"/>
  <c r="G26" i="44"/>
  <c r="H26" i="44" s="1"/>
  <c r="E26" i="44"/>
  <c r="D26" i="44"/>
  <c r="C26" i="44"/>
  <c r="G25" i="44"/>
  <c r="H25" i="44" s="1"/>
  <c r="E25" i="44"/>
  <c r="D25" i="44"/>
  <c r="C25" i="44"/>
  <c r="H24" i="44"/>
  <c r="G24" i="44"/>
  <c r="E24" i="44"/>
  <c r="D24" i="44"/>
  <c r="C24" i="44"/>
  <c r="H23" i="44"/>
  <c r="G23" i="44"/>
  <c r="E23" i="44"/>
  <c r="D23" i="44"/>
  <c r="C23" i="44"/>
  <c r="G22" i="44"/>
  <c r="H22" i="44" s="1"/>
  <c r="E22" i="44"/>
  <c r="D22" i="44"/>
  <c r="C22" i="44"/>
  <c r="G21" i="44"/>
  <c r="E21" i="44"/>
  <c r="D21" i="44"/>
  <c r="C21" i="44"/>
  <c r="E20" i="44"/>
  <c r="G20" i="44" s="1"/>
  <c r="D20" i="44"/>
  <c r="C20" i="44"/>
  <c r="E19" i="44"/>
  <c r="G19" i="44" s="1"/>
  <c r="D19" i="44"/>
  <c r="C19" i="44"/>
  <c r="E18" i="44"/>
  <c r="G18" i="44" s="1"/>
  <c r="D18" i="44"/>
  <c r="C18" i="44"/>
  <c r="G17" i="44"/>
  <c r="G33" i="44" s="1"/>
  <c r="E17" i="44"/>
  <c r="D17" i="44"/>
  <c r="C17" i="44"/>
  <c r="D13" i="44"/>
  <c r="D12" i="44"/>
  <c r="G10" i="44"/>
  <c r="K49" i="44" s="1"/>
  <c r="D7" i="44"/>
  <c r="D9" i="44" s="1"/>
  <c r="D73" i="43"/>
  <c r="C73" i="43"/>
  <c r="H72" i="43"/>
  <c r="J72" i="43" s="1" a="1"/>
  <c r="J72" i="43" s="1"/>
  <c r="E72" i="43"/>
  <c r="H71" i="43"/>
  <c r="J71" i="43" s="1" a="1"/>
  <c r="J71" i="43" s="1"/>
  <c r="E71" i="43"/>
  <c r="H70" i="43"/>
  <c r="J70" i="43" s="1" a="1"/>
  <c r="J70" i="43" s="1"/>
  <c r="E70" i="43"/>
  <c r="H69" i="43"/>
  <c r="J69" i="43" s="1" a="1"/>
  <c r="J69" i="43" s="1"/>
  <c r="E69" i="43"/>
  <c r="H68" i="43"/>
  <c r="J68" i="43" s="1" a="1"/>
  <c r="J68" i="43" s="1"/>
  <c r="E68" i="43"/>
  <c r="H67" i="43"/>
  <c r="J67" i="43" s="1" a="1"/>
  <c r="J67" i="43" s="1"/>
  <c r="E67" i="43"/>
  <c r="H66" i="43"/>
  <c r="J66" i="43" s="1" a="1"/>
  <c r="J66" i="43" s="1"/>
  <c r="E66" i="43"/>
  <c r="H65" i="43"/>
  <c r="J65" i="43" s="1" a="1"/>
  <c r="J65" i="43" s="1"/>
  <c r="E65" i="43"/>
  <c r="H64" i="43"/>
  <c r="J64" i="43" s="1" a="1"/>
  <c r="J64" i="43" s="1"/>
  <c r="E64" i="43"/>
  <c r="H63" i="43"/>
  <c r="J63" i="43" s="1" a="1"/>
  <c r="J63" i="43" s="1"/>
  <c r="E63" i="43"/>
  <c r="H62" i="43"/>
  <c r="J62" i="43" s="1" a="1"/>
  <c r="J62" i="43" s="1"/>
  <c r="E62" i="43"/>
  <c r="H61" i="43"/>
  <c r="H73" i="43" s="1"/>
  <c r="E61" i="43"/>
  <c r="E73" i="43" s="1"/>
  <c r="G49" i="43"/>
  <c r="G42" i="43"/>
  <c r="H42" i="43" s="1"/>
  <c r="E42" i="43"/>
  <c r="D42" i="43"/>
  <c r="C42" i="43"/>
  <c r="G41" i="43"/>
  <c r="H41" i="43" s="1"/>
  <c r="E41" i="43"/>
  <c r="D41" i="43"/>
  <c r="C41" i="43"/>
  <c r="H40" i="43"/>
  <c r="G40" i="43"/>
  <c r="E40" i="43"/>
  <c r="D40" i="43"/>
  <c r="C40" i="43"/>
  <c r="G39" i="43"/>
  <c r="H39" i="43" s="1"/>
  <c r="E39" i="43"/>
  <c r="D39" i="43"/>
  <c r="C39" i="43"/>
  <c r="G38" i="43"/>
  <c r="H38" i="43" s="1"/>
  <c r="E38" i="43"/>
  <c r="D38" i="43"/>
  <c r="C38" i="43"/>
  <c r="E37" i="43"/>
  <c r="G37" i="43" s="1"/>
  <c r="D37" i="43"/>
  <c r="C37" i="43"/>
  <c r="E36" i="43"/>
  <c r="G36" i="43" s="1"/>
  <c r="D36" i="43"/>
  <c r="C36" i="43"/>
  <c r="E35" i="43"/>
  <c r="G35" i="43" s="1"/>
  <c r="D35" i="43"/>
  <c r="C35" i="43"/>
  <c r="G34" i="43"/>
  <c r="E34" i="43"/>
  <c r="D34" i="43"/>
  <c r="C34" i="43"/>
  <c r="G32" i="43"/>
  <c r="H32" i="43" s="1"/>
  <c r="E32" i="43"/>
  <c r="D32" i="43"/>
  <c r="C32" i="43"/>
  <c r="G31" i="43"/>
  <c r="H31" i="43" s="1"/>
  <c r="E31" i="43"/>
  <c r="D31" i="43"/>
  <c r="C31" i="43"/>
  <c r="H30" i="43"/>
  <c r="G30" i="43"/>
  <c r="E30" i="43"/>
  <c r="D30" i="43"/>
  <c r="C30" i="43"/>
  <c r="H29" i="43"/>
  <c r="G29" i="43"/>
  <c r="E29" i="43"/>
  <c r="D29" i="43"/>
  <c r="C29" i="43"/>
  <c r="H27" i="43"/>
  <c r="G27" i="43"/>
  <c r="E27" i="43"/>
  <c r="D27" i="43"/>
  <c r="C27" i="43"/>
  <c r="G26" i="43"/>
  <c r="H26" i="43" s="1"/>
  <c r="E26" i="43"/>
  <c r="D26" i="43"/>
  <c r="C26" i="43"/>
  <c r="G25" i="43"/>
  <c r="H25" i="43" s="1"/>
  <c r="E25" i="43"/>
  <c r="D25" i="43"/>
  <c r="C25" i="43"/>
  <c r="G24" i="43"/>
  <c r="H24" i="43" s="1"/>
  <c r="E24" i="43"/>
  <c r="D24" i="43"/>
  <c r="C24" i="43"/>
  <c r="G23" i="43"/>
  <c r="H23" i="43" s="1"/>
  <c r="E23" i="43"/>
  <c r="D23" i="43"/>
  <c r="C23" i="43"/>
  <c r="G22" i="43"/>
  <c r="H22" i="43" s="1"/>
  <c r="E22" i="43"/>
  <c r="D22" i="43"/>
  <c r="C22" i="43"/>
  <c r="E21" i="43"/>
  <c r="G21" i="43" s="1"/>
  <c r="D21" i="43"/>
  <c r="C21" i="43"/>
  <c r="E20" i="43"/>
  <c r="G20" i="43" s="1"/>
  <c r="D20" i="43"/>
  <c r="C20" i="43"/>
  <c r="E19" i="43"/>
  <c r="G19" i="43" s="1"/>
  <c r="D19" i="43"/>
  <c r="C19" i="43"/>
  <c r="G18" i="43"/>
  <c r="E18" i="43"/>
  <c r="D18" i="43"/>
  <c r="C18" i="43"/>
  <c r="G17" i="43"/>
  <c r="E17" i="43"/>
  <c r="D17" i="43"/>
  <c r="C17" i="43"/>
  <c r="C77" i="43" s="1"/>
  <c r="C78" i="43" s="1"/>
  <c r="D12" i="43"/>
  <c r="G10" i="43"/>
  <c r="D13" i="43" s="1"/>
  <c r="D7" i="43"/>
  <c r="D9" i="43" s="1"/>
  <c r="D73" i="42"/>
  <c r="C73" i="42"/>
  <c r="H72" i="42"/>
  <c r="J72" i="42" s="1" a="1"/>
  <c r="J72" i="42" s="1"/>
  <c r="E72" i="42"/>
  <c r="J71" i="42" a="1"/>
  <c r="J71" i="42" s="1"/>
  <c r="H71" i="42"/>
  <c r="E71" i="42"/>
  <c r="H70" i="42"/>
  <c r="J70" i="42" s="1" a="1"/>
  <c r="J70" i="42" s="1"/>
  <c r="E70" i="42"/>
  <c r="J69" i="42" a="1"/>
  <c r="J69" i="42" s="1"/>
  <c r="H69" i="42"/>
  <c r="E69" i="42"/>
  <c r="H68" i="42"/>
  <c r="J68" i="42" s="1" a="1"/>
  <c r="J68" i="42" s="1"/>
  <c r="E68" i="42"/>
  <c r="J67" i="42" a="1"/>
  <c r="J67" i="42" s="1"/>
  <c r="H67" i="42"/>
  <c r="E67" i="42"/>
  <c r="H66" i="42"/>
  <c r="J66" i="42" s="1" a="1"/>
  <c r="J66" i="42" s="1"/>
  <c r="E66" i="42"/>
  <c r="J65" i="42" a="1"/>
  <c r="J65" i="42" s="1"/>
  <c r="H65" i="42"/>
  <c r="E65" i="42"/>
  <c r="H64" i="42"/>
  <c r="J64" i="42" s="1" a="1"/>
  <c r="J64" i="42" s="1"/>
  <c r="E64" i="42"/>
  <c r="J63" i="42" a="1"/>
  <c r="J63" i="42" s="1"/>
  <c r="H63" i="42"/>
  <c r="E63" i="42"/>
  <c r="H62" i="42"/>
  <c r="J62" i="42" s="1" a="1"/>
  <c r="J62" i="42" s="1"/>
  <c r="E62" i="42"/>
  <c r="J61" i="42" a="1"/>
  <c r="J61" i="42" s="1"/>
  <c r="H61" i="42"/>
  <c r="E61" i="42"/>
  <c r="E73" i="42" s="1"/>
  <c r="G49" i="42"/>
  <c r="G42" i="42"/>
  <c r="H42" i="42" s="1"/>
  <c r="E42" i="42"/>
  <c r="D42" i="42"/>
  <c r="C42" i="42"/>
  <c r="G41" i="42"/>
  <c r="H41" i="42" s="1"/>
  <c r="E41" i="42"/>
  <c r="D41" i="42"/>
  <c r="C41" i="42"/>
  <c r="H40" i="42"/>
  <c r="G40" i="42"/>
  <c r="E40" i="42"/>
  <c r="D40" i="42"/>
  <c r="C40" i="42"/>
  <c r="G39" i="42"/>
  <c r="H39" i="42" s="1"/>
  <c r="E39" i="42"/>
  <c r="D39" i="42"/>
  <c r="C39" i="42"/>
  <c r="H38" i="42"/>
  <c r="G38" i="42"/>
  <c r="E38" i="42"/>
  <c r="D38" i="42"/>
  <c r="C38" i="42"/>
  <c r="G37" i="42"/>
  <c r="E37" i="42"/>
  <c r="D37" i="42"/>
  <c r="C37" i="42"/>
  <c r="E36" i="42"/>
  <c r="G36" i="42" s="1"/>
  <c r="D36" i="42"/>
  <c r="C36" i="42"/>
  <c r="G35" i="42"/>
  <c r="E35" i="42"/>
  <c r="D35" i="42"/>
  <c r="C35" i="42"/>
  <c r="E34" i="42"/>
  <c r="G34" i="42" s="1"/>
  <c r="D34" i="42"/>
  <c r="C34" i="42"/>
  <c r="G32" i="42"/>
  <c r="H32" i="42" s="1"/>
  <c r="E32" i="42"/>
  <c r="D32" i="42"/>
  <c r="C32" i="42"/>
  <c r="H31" i="42"/>
  <c r="G31" i="42"/>
  <c r="E31" i="42"/>
  <c r="D31" i="42"/>
  <c r="C31" i="42"/>
  <c r="G30" i="42"/>
  <c r="H30" i="42" s="1"/>
  <c r="E30" i="42"/>
  <c r="D30" i="42"/>
  <c r="C30" i="42"/>
  <c r="H29" i="42"/>
  <c r="G29" i="42"/>
  <c r="E29" i="42"/>
  <c r="D29" i="42"/>
  <c r="C29" i="42"/>
  <c r="G27" i="42"/>
  <c r="H27" i="42" s="1"/>
  <c r="E27" i="42"/>
  <c r="D27" i="42"/>
  <c r="C27" i="42"/>
  <c r="G26" i="42"/>
  <c r="H26" i="42" s="1"/>
  <c r="E26" i="42"/>
  <c r="D26" i="42"/>
  <c r="C26" i="42"/>
  <c r="G25" i="42"/>
  <c r="H25" i="42" s="1"/>
  <c r="E25" i="42"/>
  <c r="D25" i="42"/>
  <c r="C25" i="42"/>
  <c r="H24" i="42"/>
  <c r="G24" i="42"/>
  <c r="E24" i="42"/>
  <c r="D24" i="42"/>
  <c r="C24" i="42"/>
  <c r="G23" i="42"/>
  <c r="H23" i="42" s="1"/>
  <c r="E23" i="42"/>
  <c r="D23" i="42"/>
  <c r="C23" i="42"/>
  <c r="H22" i="42"/>
  <c r="G22" i="42"/>
  <c r="E22" i="42"/>
  <c r="D22" i="42"/>
  <c r="C22" i="42"/>
  <c r="G21" i="42"/>
  <c r="E21" i="42"/>
  <c r="D21" i="42"/>
  <c r="C21" i="42"/>
  <c r="E20" i="42"/>
  <c r="G20" i="42" s="1"/>
  <c r="D20" i="42"/>
  <c r="C20" i="42"/>
  <c r="G19" i="42"/>
  <c r="E19" i="42"/>
  <c r="D19" i="42"/>
  <c r="C19" i="42"/>
  <c r="E18" i="42"/>
  <c r="G18" i="42" s="1"/>
  <c r="D18" i="42"/>
  <c r="C18" i="42"/>
  <c r="G17" i="42"/>
  <c r="E17" i="42"/>
  <c r="D17" i="42"/>
  <c r="C17" i="42"/>
  <c r="D13" i="42"/>
  <c r="D12" i="42"/>
  <c r="G10" i="42"/>
  <c r="K49" i="42" s="1"/>
  <c r="D7" i="42"/>
  <c r="D9" i="42" s="1"/>
  <c r="H73" i="41"/>
  <c r="D73" i="41"/>
  <c r="C73" i="41"/>
  <c r="H72" i="41"/>
  <c r="J72" i="41" s="1" a="1"/>
  <c r="J72" i="41" s="1"/>
  <c r="E72" i="41"/>
  <c r="H71" i="41"/>
  <c r="J71" i="41" s="1" a="1"/>
  <c r="J71" i="41" s="1"/>
  <c r="E71" i="41"/>
  <c r="H70" i="41"/>
  <c r="J70" i="41" s="1" a="1"/>
  <c r="J70" i="41" s="1"/>
  <c r="E70" i="41"/>
  <c r="H69" i="41"/>
  <c r="J69" i="41" s="1" a="1"/>
  <c r="J69" i="41" s="1"/>
  <c r="E69" i="41"/>
  <c r="H68" i="41"/>
  <c r="J68" i="41" s="1" a="1"/>
  <c r="J68" i="41" s="1"/>
  <c r="E68" i="41"/>
  <c r="H67" i="41"/>
  <c r="J67" i="41" s="1" a="1"/>
  <c r="J67" i="41" s="1"/>
  <c r="E67" i="41"/>
  <c r="H66" i="41"/>
  <c r="J66" i="41" s="1" a="1"/>
  <c r="J66" i="41" s="1"/>
  <c r="E66" i="41"/>
  <c r="H65" i="41"/>
  <c r="J65" i="41" s="1" a="1"/>
  <c r="J65" i="41" s="1"/>
  <c r="E65" i="41"/>
  <c r="H64" i="41"/>
  <c r="J64" i="41" s="1" a="1"/>
  <c r="J64" i="41" s="1"/>
  <c r="E64" i="41"/>
  <c r="H63" i="41"/>
  <c r="J63" i="41" s="1" a="1"/>
  <c r="J63" i="41" s="1"/>
  <c r="E63" i="41"/>
  <c r="H62" i="41"/>
  <c r="J62" i="41" s="1" a="1"/>
  <c r="J62" i="41" s="1"/>
  <c r="E62" i="41"/>
  <c r="H61" i="41"/>
  <c r="J61" i="41" s="1" a="1"/>
  <c r="J61" i="41" s="1"/>
  <c r="E61" i="41"/>
  <c r="E73" i="41" s="1"/>
  <c r="G49" i="41"/>
  <c r="G42" i="41"/>
  <c r="H42" i="41" s="1"/>
  <c r="E42" i="41"/>
  <c r="D42" i="41"/>
  <c r="C42" i="41"/>
  <c r="G41" i="41"/>
  <c r="H41" i="41" s="1"/>
  <c r="E41" i="41"/>
  <c r="D41" i="41"/>
  <c r="C41" i="41"/>
  <c r="G40" i="41"/>
  <c r="H40" i="41" s="1"/>
  <c r="E40" i="41"/>
  <c r="D40" i="41"/>
  <c r="C40" i="41"/>
  <c r="G39" i="41"/>
  <c r="H39" i="41" s="1"/>
  <c r="E39" i="41"/>
  <c r="D39" i="41"/>
  <c r="C39" i="41"/>
  <c r="G38" i="41"/>
  <c r="H38" i="41" s="1"/>
  <c r="E38" i="41"/>
  <c r="D38" i="41"/>
  <c r="C38" i="41"/>
  <c r="E37" i="41"/>
  <c r="G37" i="41" s="1"/>
  <c r="D37" i="41"/>
  <c r="C37" i="41"/>
  <c r="E36" i="41"/>
  <c r="G36" i="41" s="1"/>
  <c r="D36" i="41"/>
  <c r="C36" i="41"/>
  <c r="E35" i="41"/>
  <c r="G35" i="41" s="1"/>
  <c r="D35" i="41"/>
  <c r="C35" i="41"/>
  <c r="E34" i="41"/>
  <c r="G34" i="41" s="1"/>
  <c r="D34" i="41"/>
  <c r="C34" i="41"/>
  <c r="G32" i="41"/>
  <c r="H32" i="41" s="1"/>
  <c r="E32" i="41"/>
  <c r="D32" i="41"/>
  <c r="C32" i="41"/>
  <c r="G31" i="41"/>
  <c r="H31" i="41" s="1"/>
  <c r="E31" i="41"/>
  <c r="D31" i="41"/>
  <c r="C31" i="41"/>
  <c r="G30" i="41"/>
  <c r="H30" i="41" s="1"/>
  <c r="E30" i="41"/>
  <c r="D30" i="41"/>
  <c r="C30" i="41"/>
  <c r="H29" i="41"/>
  <c r="G29" i="41"/>
  <c r="E29" i="41"/>
  <c r="D29" i="41"/>
  <c r="C29" i="41"/>
  <c r="H27" i="41"/>
  <c r="G27" i="41"/>
  <c r="E27" i="41"/>
  <c r="D27" i="41"/>
  <c r="C27" i="41"/>
  <c r="G26" i="41"/>
  <c r="H26" i="41" s="1"/>
  <c r="E26" i="41"/>
  <c r="D26" i="41"/>
  <c r="C26" i="41"/>
  <c r="G25" i="41"/>
  <c r="H25" i="41" s="1"/>
  <c r="E25" i="41"/>
  <c r="D25" i="41"/>
  <c r="C25" i="41"/>
  <c r="G24" i="41"/>
  <c r="H24" i="41" s="1"/>
  <c r="E24" i="41"/>
  <c r="D24" i="41"/>
  <c r="C24" i="41"/>
  <c r="G23" i="41"/>
  <c r="H23" i="41" s="1"/>
  <c r="E23" i="41"/>
  <c r="D23" i="41"/>
  <c r="C23" i="41"/>
  <c r="G22" i="41"/>
  <c r="H22" i="41" s="1"/>
  <c r="E22" i="41"/>
  <c r="D22" i="41"/>
  <c r="C22" i="41"/>
  <c r="E21" i="41"/>
  <c r="G21" i="41" s="1"/>
  <c r="D21" i="41"/>
  <c r="C21" i="41"/>
  <c r="E20" i="41"/>
  <c r="G20" i="41" s="1"/>
  <c r="D20" i="41"/>
  <c r="C20" i="41"/>
  <c r="E19" i="41"/>
  <c r="G19" i="41" s="1"/>
  <c r="D19" i="41"/>
  <c r="C19" i="41"/>
  <c r="E18" i="41"/>
  <c r="G18" i="41" s="1"/>
  <c r="D18" i="41"/>
  <c r="C18" i="41"/>
  <c r="G17" i="41"/>
  <c r="E17" i="41"/>
  <c r="D17" i="41"/>
  <c r="C17" i="41"/>
  <c r="C77" i="41" s="1"/>
  <c r="C78" i="41" s="1"/>
  <c r="D13" i="41"/>
  <c r="D12" i="41"/>
  <c r="G10" i="41"/>
  <c r="K49" i="41" s="1"/>
  <c r="D7" i="41"/>
  <c r="D9" i="41" s="1"/>
  <c r="I67" i="16"/>
  <c r="H67" i="16" s="1"/>
  <c r="I59" i="16"/>
  <c r="I51" i="16"/>
  <c r="I28" i="16"/>
  <c r="F22" i="16"/>
  <c r="F23" i="16"/>
  <c r="I23" i="16" s="1"/>
  <c r="F24" i="16"/>
  <c r="I24" i="16" s="1"/>
  <c r="F25" i="16"/>
  <c r="I25" i="16" s="1"/>
  <c r="F26" i="16"/>
  <c r="F27" i="16"/>
  <c r="I27" i="16" s="1"/>
  <c r="F28" i="16"/>
  <c r="F29" i="16"/>
  <c r="I29" i="16" s="1"/>
  <c r="F30" i="16"/>
  <c r="F31" i="16"/>
  <c r="I31" i="16" s="1"/>
  <c r="F32" i="16"/>
  <c r="I32" i="16" s="1"/>
  <c r="F33" i="16"/>
  <c r="I33" i="16" s="1"/>
  <c r="F34" i="16"/>
  <c r="I34" i="16" s="1"/>
  <c r="F35" i="16"/>
  <c r="I35" i="16" s="1"/>
  <c r="F36" i="16"/>
  <c r="F37" i="16"/>
  <c r="I37" i="16" s="1"/>
  <c r="F38" i="16"/>
  <c r="I38" i="16" s="1"/>
  <c r="F40" i="16"/>
  <c r="I40" i="16" s="1"/>
  <c r="F41" i="16"/>
  <c r="F42" i="16"/>
  <c r="I42" i="16" s="1"/>
  <c r="F43" i="16"/>
  <c r="F44" i="16"/>
  <c r="I44" i="16" s="1"/>
  <c r="F45" i="16"/>
  <c r="I45" i="16" s="1"/>
  <c r="F46" i="16"/>
  <c r="F47" i="16"/>
  <c r="I47" i="16" s="1"/>
  <c r="F48" i="16"/>
  <c r="I48" i="16" s="1"/>
  <c r="F49" i="16"/>
  <c r="I49" i="16" s="1"/>
  <c r="F50" i="16"/>
  <c r="F51" i="16"/>
  <c r="F52" i="16"/>
  <c r="I52" i="16" s="1"/>
  <c r="F53" i="16"/>
  <c r="I53" i="16" s="1"/>
  <c r="F54" i="16"/>
  <c r="I54" i="16" s="1"/>
  <c r="F55" i="16"/>
  <c r="I55" i="16" s="1"/>
  <c r="F56" i="16"/>
  <c r="I56" i="16" s="1"/>
  <c r="F57" i="16"/>
  <c r="F58" i="16"/>
  <c r="I58" i="16" s="1"/>
  <c r="F59" i="16"/>
  <c r="F60" i="16"/>
  <c r="I60" i="16" s="1"/>
  <c r="F61" i="16"/>
  <c r="I61" i="16" s="1"/>
  <c r="F62" i="16"/>
  <c r="I62" i="16" s="1"/>
  <c r="F63" i="16"/>
  <c r="I63" i="16" s="1"/>
  <c r="F64" i="16"/>
  <c r="I64" i="16" s="1"/>
  <c r="F65" i="16"/>
  <c r="I65" i="16" s="1"/>
  <c r="F66" i="16"/>
  <c r="F68" i="16"/>
  <c r="I68" i="16" s="1"/>
  <c r="F69" i="16"/>
  <c r="I69" i="16" s="1"/>
  <c r="F72" i="16"/>
  <c r="F73" i="16"/>
  <c r="I73" i="16" s="1"/>
  <c r="F74" i="16"/>
  <c r="I74" i="16" s="1"/>
  <c r="F75" i="16"/>
  <c r="I75" i="16" s="1"/>
  <c r="F76" i="16"/>
  <c r="I76" i="16" s="1"/>
  <c r="F77" i="16"/>
  <c r="F78" i="16"/>
  <c r="I78" i="16" s="1"/>
  <c r="F79" i="16"/>
  <c r="I79" i="16" s="1"/>
  <c r="F80" i="16"/>
  <c r="I80" i="16" s="1"/>
  <c r="F81" i="16"/>
  <c r="F82" i="16"/>
  <c r="I82" i="16" s="1"/>
  <c r="F84" i="16"/>
  <c r="F85" i="16"/>
  <c r="F86" i="16"/>
  <c r="F87" i="16"/>
  <c r="F88" i="16"/>
  <c r="F89" i="16"/>
  <c r="F90" i="16"/>
  <c r="F21" i="16"/>
  <c r="E50" i="16"/>
  <c r="E57" i="16"/>
  <c r="E90" i="16"/>
  <c r="E89" i="16"/>
  <c r="E88" i="16"/>
  <c r="E87" i="16"/>
  <c r="E86" i="16"/>
  <c r="E85" i="16"/>
  <c r="E84" i="16"/>
  <c r="E46" i="16"/>
  <c r="E43" i="16"/>
  <c r="E36" i="16"/>
  <c r="E26" i="16"/>
  <c r="E22" i="16"/>
  <c r="D5" i="21"/>
  <c r="D6" i="21"/>
  <c r="D7" i="21"/>
  <c r="D8" i="21"/>
  <c r="D9" i="21"/>
  <c r="D4" i="21"/>
  <c r="E5" i="21"/>
  <c r="E6" i="21"/>
  <c r="E7" i="21"/>
  <c r="E8" i="21"/>
  <c r="E9" i="21"/>
  <c r="E4" i="21"/>
  <c r="G11" i="21"/>
  <c r="H11" i="21"/>
  <c r="I11" i="21"/>
  <c r="J11" i="21"/>
  <c r="K11" i="21"/>
  <c r="L11" i="21"/>
  <c r="M11" i="21"/>
  <c r="N11" i="21"/>
  <c r="O11" i="21"/>
  <c r="P11" i="21"/>
  <c r="Q11" i="21"/>
  <c r="F11" i="21"/>
  <c r="F10" i="21" s="1"/>
  <c r="M6" i="6" a="1"/>
  <c r="I5" i="6" a="1"/>
  <c r="O6" i="6" a="1"/>
  <c r="I6" i="6" a="1"/>
  <c r="G8" i="6" a="1"/>
  <c r="G7" i="6" a="1"/>
  <c r="F5" i="6" a="1"/>
  <c r="Q6" i="6" a="1"/>
  <c r="H6" i="6" a="1"/>
  <c r="O4" i="6" a="1"/>
  <c r="Q7" i="6" a="1"/>
  <c r="E6" i="6" a="1"/>
  <c r="K22" i="4" a="1"/>
  <c r="G4" i="6" a="1"/>
  <c r="R8" i="6" a="1"/>
  <c r="E5" i="6" a="1"/>
  <c r="I8" i="6" a="1"/>
  <c r="L7" i="6" a="1"/>
  <c r="L22" i="4" a="1"/>
  <c r="K4" i="6" a="1"/>
  <c r="I7" i="6" a="1"/>
  <c r="G5" i="6" a="1"/>
  <c r="N4" i="6" a="1"/>
  <c r="M7" i="6" a="1"/>
  <c r="R4" i="6" a="1"/>
  <c r="P22" i="4" a="1"/>
  <c r="P5" i="6" a="1"/>
  <c r="P8" i="6" a="1"/>
  <c r="R6" i="6" a="1"/>
  <c r="Q4" i="6" a="1"/>
  <c r="L8" i="6" a="1"/>
  <c r="K6" i="6" a="1"/>
  <c r="I4" i="6" a="1"/>
  <c r="H4" i="6" a="1"/>
  <c r="N22" i="4" a="1"/>
  <c r="P6" i="6" a="1"/>
  <c r="E8" i="6" a="1"/>
  <c r="J5" i="6" a="1"/>
  <c r="G6" i="6" a="1"/>
  <c r="P7" i="6" a="1"/>
  <c r="L4" i="6" a="1"/>
  <c r="N8" i="6" a="1"/>
  <c r="J7" i="6" a="1"/>
  <c r="P4" i="6" a="1"/>
  <c r="I22" i="4" a="1"/>
  <c r="J6" i="6" a="1"/>
  <c r="Q8" i="6" a="1"/>
  <c r="L5" i="6" a="1"/>
  <c r="F7" i="6" a="1"/>
  <c r="H7" i="6" a="1"/>
  <c r="F6" i="6" a="1"/>
  <c r="F4" i="6" a="1"/>
  <c r="E7" i="6" a="1"/>
  <c r="D7" i="6" a="1"/>
  <c r="D8" i="6" a="1"/>
  <c r="R5" i="6" a="1"/>
  <c r="M22" i="4" a="1"/>
  <c r="O7" i="6" a="1"/>
  <c r="N5" i="6" a="1"/>
  <c r="M4" i="6" a="1"/>
  <c r="L6" i="6" a="1"/>
  <c r="F8" i="6" a="1"/>
  <c r="N7" i="6" a="1"/>
  <c r="J22" i="4" a="1"/>
  <c r="H8" i="6" a="1"/>
  <c r="D5" i="6" a="1"/>
  <c r="G22" i="4" a="1"/>
  <c r="M8" i="6" a="1"/>
  <c r="Q5" i="6" a="1"/>
  <c r="O22" i="4" a="1"/>
  <c r="N6" i="6" a="1"/>
  <c r="M5" i="6" a="1"/>
  <c r="F22" i="4" a="1"/>
  <c r="Q22" i="4" a="1"/>
  <c r="J4" i="6" a="1"/>
  <c r="H5" i="6" a="1"/>
  <c r="D22" i="4" a="1"/>
  <c r="O5" i="6" a="1"/>
  <c r="E4" i="6" a="1"/>
  <c r="O8" i="6" a="1"/>
  <c r="E22" i="4" a="1"/>
  <c r="D6" i="6" a="1"/>
  <c r="K8" i="6" a="1"/>
  <c r="R22" i="4" a="1"/>
  <c r="K7" i="6" a="1"/>
  <c r="J8" i="6" a="1"/>
  <c r="K5" i="6" a="1"/>
  <c r="D4" i="6" a="1"/>
  <c r="R7" i="6" a="1"/>
  <c r="H22" i="4" a="1"/>
  <c r="E39" i="18" l="1"/>
  <c r="E4" i="6"/>
  <c r="E55" i="6" s="1"/>
  <c r="I4" i="6"/>
  <c r="I55" i="6" s="1"/>
  <c r="M4" i="6"/>
  <c r="M55" i="6" s="1"/>
  <c r="Q4" i="6"/>
  <c r="Q55" i="6" s="1"/>
  <c r="F5" i="6"/>
  <c r="J5" i="6"/>
  <c r="N5" i="6"/>
  <c r="R5" i="6"/>
  <c r="G6" i="6"/>
  <c r="K6" i="6"/>
  <c r="O6" i="6"/>
  <c r="D7" i="6"/>
  <c r="H7" i="6"/>
  <c r="L7" i="6"/>
  <c r="P7" i="6"/>
  <c r="P13" i="6" s="1"/>
  <c r="P14" i="6" s="1"/>
  <c r="E8" i="6"/>
  <c r="I8" i="6"/>
  <c r="M8" i="6"/>
  <c r="Q8" i="6"/>
  <c r="F4" i="6"/>
  <c r="F55" i="6" s="1"/>
  <c r="J4" i="6"/>
  <c r="J55" i="6" s="1"/>
  <c r="N4" i="6"/>
  <c r="N55" i="6" s="1"/>
  <c r="R4" i="6"/>
  <c r="R55" i="6" s="1"/>
  <c r="G5" i="6"/>
  <c r="K5" i="6"/>
  <c r="O5" i="6"/>
  <c r="D6" i="6"/>
  <c r="H6" i="6"/>
  <c r="L6" i="6"/>
  <c r="P6" i="6"/>
  <c r="E7" i="6"/>
  <c r="I7" i="6"/>
  <c r="M7" i="6"/>
  <c r="M13" i="6" s="1"/>
  <c r="M14" i="6" s="1"/>
  <c r="Q7" i="6"/>
  <c r="Q13" i="6" s="1"/>
  <c r="Q14" i="6" s="1"/>
  <c r="F8" i="6"/>
  <c r="J8" i="6"/>
  <c r="N8" i="6"/>
  <c r="R8" i="6"/>
  <c r="G4" i="6"/>
  <c r="G55" i="6" s="1"/>
  <c r="K4" i="6"/>
  <c r="K55" i="6" s="1"/>
  <c r="O4" i="6"/>
  <c r="O55" i="6" s="1"/>
  <c r="D5" i="6"/>
  <c r="H5" i="6"/>
  <c r="L5" i="6"/>
  <c r="P5" i="6"/>
  <c r="E6" i="6"/>
  <c r="I6" i="6"/>
  <c r="M6" i="6"/>
  <c r="Q6" i="6"/>
  <c r="F7" i="6"/>
  <c r="J7" i="6"/>
  <c r="N7" i="6"/>
  <c r="N13" i="6" s="1"/>
  <c r="N14" i="6" s="1"/>
  <c r="R7" i="6"/>
  <c r="R13" i="6" s="1"/>
  <c r="R14" i="6" s="1"/>
  <c r="G8" i="6"/>
  <c r="K8" i="6"/>
  <c r="O8" i="6"/>
  <c r="D4" i="6"/>
  <c r="D55" i="6" s="1"/>
  <c r="H4" i="6"/>
  <c r="H55" i="6" s="1"/>
  <c r="L4" i="6"/>
  <c r="L55" i="6" s="1"/>
  <c r="P4" i="6"/>
  <c r="P55" i="6" s="1"/>
  <c r="E5" i="6"/>
  <c r="I5" i="6"/>
  <c r="M5" i="6"/>
  <c r="Q5" i="6"/>
  <c r="F6" i="6"/>
  <c r="J6" i="6"/>
  <c r="N6" i="6"/>
  <c r="R6" i="6"/>
  <c r="G7" i="6"/>
  <c r="K7" i="6"/>
  <c r="O7" i="6"/>
  <c r="O13" i="6" s="1"/>
  <c r="O14" i="6" s="1"/>
  <c r="D8" i="6"/>
  <c r="H8" i="6"/>
  <c r="L8" i="6"/>
  <c r="P8" i="6"/>
  <c r="B52" i="49"/>
  <c r="C29" i="49" s="1"/>
  <c r="C30" i="49" s="1"/>
  <c r="A53" i="49"/>
  <c r="B38" i="49"/>
  <c r="B53" i="49"/>
  <c r="B39" i="49"/>
  <c r="A54" i="49"/>
  <c r="B11" i="49"/>
  <c r="B54" i="49"/>
  <c r="B51" i="49"/>
  <c r="C77" i="45"/>
  <c r="C78" i="45" s="1"/>
  <c r="C77" i="44"/>
  <c r="C78" i="44" s="1"/>
  <c r="C77" i="46"/>
  <c r="C78" i="46" s="1"/>
  <c r="C77" i="42"/>
  <c r="C78" i="42" s="1"/>
  <c r="C77" i="47"/>
  <c r="C78" i="47" s="1"/>
  <c r="J67" i="16"/>
  <c r="K67" i="16" s="1"/>
  <c r="P22" i="4"/>
  <c r="L22" i="4"/>
  <c r="O22" i="4"/>
  <c r="K22" i="4"/>
  <c r="R22" i="4"/>
  <c r="N22" i="4"/>
  <c r="J22" i="4"/>
  <c r="Q22" i="4"/>
  <c r="M22" i="4"/>
  <c r="I22" i="4"/>
  <c r="G22" i="4"/>
  <c r="F22" i="4"/>
  <c r="E22" i="4"/>
  <c r="H22" i="4"/>
  <c r="D22" i="4"/>
  <c r="G33" i="47"/>
  <c r="H36" i="47"/>
  <c r="H20" i="47"/>
  <c r="G43" i="47"/>
  <c r="H18" i="47"/>
  <c r="H37" i="47"/>
  <c r="H17" i="47"/>
  <c r="J61" i="47" a="1"/>
  <c r="J61" i="47" s="1"/>
  <c r="J73" i="47" s="1"/>
  <c r="G44" i="47" s="1"/>
  <c r="G33" i="46"/>
  <c r="J73" i="46"/>
  <c r="G44" i="46" s="1"/>
  <c r="G43" i="46"/>
  <c r="H73" i="46"/>
  <c r="H35" i="45"/>
  <c r="H20" i="45"/>
  <c r="H18" i="45"/>
  <c r="H34" i="45"/>
  <c r="G43" i="45"/>
  <c r="H19" i="45"/>
  <c r="H37" i="45"/>
  <c r="H17" i="45"/>
  <c r="J61" i="45" a="1"/>
  <c r="J61" i="45" s="1"/>
  <c r="J73" i="45" s="1"/>
  <c r="G44" i="45" s="1"/>
  <c r="H35" i="44"/>
  <c r="H20" i="44"/>
  <c r="H36" i="44"/>
  <c r="H18" i="44"/>
  <c r="G43" i="44"/>
  <c r="H21" i="44"/>
  <c r="H19" i="44"/>
  <c r="H17" i="44"/>
  <c r="J61" i="44" a="1"/>
  <c r="J61" i="44" s="1"/>
  <c r="J73" i="44" s="1"/>
  <c r="G44" i="44" s="1"/>
  <c r="H17" i="43"/>
  <c r="H20" i="43"/>
  <c r="H18" i="43"/>
  <c r="H21" i="43"/>
  <c r="G43" i="43"/>
  <c r="K49" i="43"/>
  <c r="J61" i="43" a="1"/>
  <c r="J61" i="43" s="1"/>
  <c r="J73" i="43" s="1"/>
  <c r="G44" i="43" s="1"/>
  <c r="G33" i="43"/>
  <c r="J73" i="42"/>
  <c r="G44" i="42" s="1"/>
  <c r="G43" i="42"/>
  <c r="H34" i="42"/>
  <c r="H35" i="42"/>
  <c r="G33" i="42"/>
  <c r="H19" i="42" s="1"/>
  <c r="H73" i="42"/>
  <c r="H36" i="41"/>
  <c r="G33" i="41"/>
  <c r="J73" i="41"/>
  <c r="G44" i="41" s="1"/>
  <c r="H21" i="41"/>
  <c r="G43" i="41"/>
  <c r="E66" i="16"/>
  <c r="E77" i="16"/>
  <c r="E72" i="16"/>
  <c r="E81" i="16"/>
  <c r="E21" i="16"/>
  <c r="E30" i="16"/>
  <c r="E41" i="16"/>
  <c r="E36" i="49" l="1"/>
  <c r="F43" i="49" s="1"/>
  <c r="C36" i="49"/>
  <c r="B40" i="49"/>
  <c r="B41" i="49" s="1" a="1"/>
  <c r="B41" i="49" s="1"/>
  <c r="E18" i="16"/>
  <c r="G45" i="47"/>
  <c r="H33" i="47" s="1"/>
  <c r="H35" i="47"/>
  <c r="H19" i="47"/>
  <c r="H34" i="47"/>
  <c r="H21" i="47"/>
  <c r="H19" i="46"/>
  <c r="G45" i="46"/>
  <c r="H44" i="46" s="1"/>
  <c r="H17" i="46"/>
  <c r="H21" i="46"/>
  <c r="H35" i="46"/>
  <c r="H20" i="46"/>
  <c r="H36" i="46"/>
  <c r="H34" i="46"/>
  <c r="H37" i="46"/>
  <c r="H18" i="46"/>
  <c r="H36" i="45"/>
  <c r="G45" i="45"/>
  <c r="H43" i="45" s="1"/>
  <c r="H37" i="44"/>
  <c r="H34" i="44"/>
  <c r="G45" i="44"/>
  <c r="H37" i="43"/>
  <c r="H35" i="43"/>
  <c r="H34" i="43"/>
  <c r="G45" i="43"/>
  <c r="H33" i="43" s="1"/>
  <c r="H19" i="43"/>
  <c r="H36" i="43"/>
  <c r="G45" i="42"/>
  <c r="H33" i="42" s="1"/>
  <c r="H36" i="42"/>
  <c r="H18" i="42"/>
  <c r="H20" i="42"/>
  <c r="H37" i="42"/>
  <c r="H21" i="42"/>
  <c r="H17" i="42"/>
  <c r="G45" i="41"/>
  <c r="H44" i="41" s="1"/>
  <c r="H19" i="41"/>
  <c r="H34" i="41"/>
  <c r="H35" i="41"/>
  <c r="H20" i="41"/>
  <c r="H17" i="41"/>
  <c r="H37" i="41"/>
  <c r="H18" i="41"/>
  <c r="B12" i="4"/>
  <c r="B13" i="4"/>
  <c r="B14" i="4"/>
  <c r="B15" i="4"/>
  <c r="B16" i="4"/>
  <c r="B17" i="4"/>
  <c r="B18" i="4"/>
  <c r="B19" i="4"/>
  <c r="B20" i="4"/>
  <c r="B21" i="4"/>
  <c r="B22" i="4"/>
  <c r="B11" i="4"/>
  <c r="C18" i="29"/>
  <c r="C19" i="29"/>
  <c r="C20" i="29"/>
  <c r="C21" i="29"/>
  <c r="C22" i="29"/>
  <c r="C23" i="29"/>
  <c r="C24" i="29"/>
  <c r="C25" i="29"/>
  <c r="C26" i="29"/>
  <c r="C27" i="29"/>
  <c r="C28" i="29"/>
  <c r="C29" i="29"/>
  <c r="C30" i="29"/>
  <c r="C31" i="29"/>
  <c r="C32" i="29"/>
  <c r="C33" i="29"/>
  <c r="C34" i="29"/>
  <c r="C35" i="29"/>
  <c r="C36" i="29"/>
  <c r="C37" i="29"/>
  <c r="C38" i="29"/>
  <c r="C39" i="29"/>
  <c r="C40" i="29"/>
  <c r="C41" i="29"/>
  <c r="C42" i="29"/>
  <c r="C43" i="29"/>
  <c r="C44" i="29"/>
  <c r="C45" i="29"/>
  <c r="C46" i="29"/>
  <c r="C47" i="29"/>
  <c r="C48" i="29"/>
  <c r="C49" i="29"/>
  <c r="C50" i="29"/>
  <c r="C51" i="29"/>
  <c r="C52" i="29"/>
  <c r="C53" i="29"/>
  <c r="C54" i="29"/>
  <c r="C55" i="29"/>
  <c r="C56" i="29"/>
  <c r="C57" i="29"/>
  <c r="C58" i="29"/>
  <c r="C59" i="29"/>
  <c r="C60" i="29"/>
  <c r="C61" i="29"/>
  <c r="C62" i="29"/>
  <c r="C63" i="29"/>
  <c r="C64" i="29"/>
  <c r="C11" i="29"/>
  <c r="C12" i="29"/>
  <c r="C14" i="29"/>
  <c r="C15" i="29"/>
  <c r="C16" i="29"/>
  <c r="C17" i="29"/>
  <c r="S30" i="6"/>
  <c r="S29" i="6"/>
  <c r="S28" i="6"/>
  <c r="S27" i="6"/>
  <c r="S26" i="6"/>
  <c r="S25" i="6"/>
  <c r="S24" i="6"/>
  <c r="S23" i="6"/>
  <c r="S22" i="6"/>
  <c r="S21" i="6"/>
  <c r="S20" i="6"/>
  <c r="S19" i="6"/>
  <c r="E31" i="6"/>
  <c r="R93" i="4"/>
  <c r="Q93" i="4"/>
  <c r="P93" i="4"/>
  <c r="O93" i="4"/>
  <c r="N93" i="4"/>
  <c r="M93" i="4"/>
  <c r="L93" i="4"/>
  <c r="K93" i="4"/>
  <c r="J93" i="4"/>
  <c r="I93" i="4"/>
  <c r="H93" i="4"/>
  <c r="G93" i="4"/>
  <c r="F93" i="4"/>
  <c r="E93" i="4"/>
  <c r="D93" i="4"/>
  <c r="C93" i="4"/>
  <c r="R80" i="4"/>
  <c r="Q80" i="4"/>
  <c r="P80" i="4"/>
  <c r="O80" i="4"/>
  <c r="N80" i="4"/>
  <c r="M80" i="4"/>
  <c r="L80" i="4"/>
  <c r="K80" i="4"/>
  <c r="J80" i="4"/>
  <c r="I80" i="4"/>
  <c r="H80" i="4"/>
  <c r="G80" i="4"/>
  <c r="F80" i="4"/>
  <c r="E80" i="4"/>
  <c r="D80" i="4"/>
  <c r="C80" i="4"/>
  <c r="R58" i="4"/>
  <c r="Q58" i="4"/>
  <c r="P58" i="4"/>
  <c r="O58" i="4"/>
  <c r="N58" i="4"/>
  <c r="M58" i="4"/>
  <c r="L58" i="4"/>
  <c r="K58" i="4"/>
  <c r="J58" i="4"/>
  <c r="I58" i="4"/>
  <c r="H58" i="4"/>
  <c r="G58" i="4"/>
  <c r="F58" i="4"/>
  <c r="E58" i="4"/>
  <c r="D58" i="4"/>
  <c r="C58" i="4"/>
  <c r="R32" i="4"/>
  <c r="Q32" i="4"/>
  <c r="P32" i="4"/>
  <c r="O32" i="4"/>
  <c r="N32" i="4"/>
  <c r="M32" i="4"/>
  <c r="L32" i="4"/>
  <c r="K32" i="4"/>
  <c r="J32" i="4"/>
  <c r="I32" i="4"/>
  <c r="H32" i="4"/>
  <c r="G32" i="4"/>
  <c r="F32" i="4"/>
  <c r="E32" i="4"/>
  <c r="D32" i="4"/>
  <c r="C32" i="4"/>
  <c r="D45" i="4"/>
  <c r="E45" i="4"/>
  <c r="F45" i="4"/>
  <c r="G45" i="4"/>
  <c r="H45" i="4"/>
  <c r="I45" i="4"/>
  <c r="J45" i="4"/>
  <c r="K45" i="4"/>
  <c r="L45" i="4"/>
  <c r="M45" i="4"/>
  <c r="N45" i="4"/>
  <c r="O45" i="4"/>
  <c r="P45" i="4"/>
  <c r="Q45" i="4"/>
  <c r="R45" i="4"/>
  <c r="C45" i="4"/>
  <c r="B7" i="6"/>
  <c r="B8" i="6"/>
  <c r="B6" i="6"/>
  <c r="B5" i="6"/>
  <c r="B4" i="6"/>
  <c r="B10" i="4"/>
  <c r="B9" i="4"/>
  <c r="B8" i="4"/>
  <c r="B7" i="4"/>
  <c r="B6" i="4"/>
  <c r="B5" i="4"/>
  <c r="B4" i="4"/>
  <c r="D15" i="32"/>
  <c r="D16" i="32"/>
  <c r="D17" i="32"/>
  <c r="C15" i="32"/>
  <c r="C16" i="32"/>
  <c r="C17" i="32"/>
  <c r="B15" i="32"/>
  <c r="B16" i="32"/>
  <c r="B17" i="32"/>
  <c r="T71" i="4"/>
  <c r="T70" i="4"/>
  <c r="T96" i="4"/>
  <c r="T95" i="4"/>
  <c r="U91" i="4"/>
  <c r="T91" i="4"/>
  <c r="U90" i="4"/>
  <c r="T90" i="4"/>
  <c r="T67" i="4"/>
  <c r="T68" i="4"/>
  <c r="T69" i="4"/>
  <c r="T65" i="4"/>
  <c r="T83" i="4"/>
  <c r="T82" i="4"/>
  <c r="U78" i="4"/>
  <c r="T78" i="4"/>
  <c r="U77" i="4"/>
  <c r="T77" i="4"/>
  <c r="T61" i="4"/>
  <c r="T60" i="4"/>
  <c r="U56" i="4"/>
  <c r="T56" i="4"/>
  <c r="U55" i="4"/>
  <c r="T55" i="4"/>
  <c r="T48" i="4"/>
  <c r="T47" i="4"/>
  <c r="U43" i="4"/>
  <c r="T43" i="4"/>
  <c r="U42" i="4"/>
  <c r="T42" i="4"/>
  <c r="U30" i="4"/>
  <c r="U29" i="4"/>
  <c r="I86" i="4"/>
  <c r="A86" i="4"/>
  <c r="R92" i="4"/>
  <c r="Q92" i="4"/>
  <c r="P92" i="4"/>
  <c r="O92" i="4"/>
  <c r="N92" i="4"/>
  <c r="M92" i="4"/>
  <c r="L92" i="4"/>
  <c r="K92" i="4"/>
  <c r="J92" i="4"/>
  <c r="I92" i="4"/>
  <c r="H92" i="4"/>
  <c r="G92" i="4"/>
  <c r="F92" i="4"/>
  <c r="E92" i="4"/>
  <c r="D92" i="4"/>
  <c r="C92" i="4"/>
  <c r="C25" i="5"/>
  <c r="D25" i="5"/>
  <c r="E25" i="5"/>
  <c r="G25" i="5"/>
  <c r="H25" i="5" s="1"/>
  <c r="C26" i="5"/>
  <c r="D26" i="5"/>
  <c r="E26" i="5"/>
  <c r="G26" i="5"/>
  <c r="H26" i="5" s="1"/>
  <c r="C27" i="5"/>
  <c r="D27" i="5"/>
  <c r="E27" i="5"/>
  <c r="G27" i="5"/>
  <c r="H27" i="5" s="1"/>
  <c r="G32" i="5"/>
  <c r="H32" i="5" s="1"/>
  <c r="G31" i="5"/>
  <c r="H31" i="5" s="1"/>
  <c r="G30" i="5"/>
  <c r="H30" i="5" s="1"/>
  <c r="G29" i="5"/>
  <c r="H29" i="5" s="1"/>
  <c r="G24" i="5"/>
  <c r="H24" i="5" s="1"/>
  <c r="G23" i="5"/>
  <c r="H23" i="5" s="1"/>
  <c r="G22" i="5"/>
  <c r="H22" i="5" s="1"/>
  <c r="G42" i="5"/>
  <c r="H42" i="5" s="1"/>
  <c r="G41" i="5"/>
  <c r="H41" i="5" s="1"/>
  <c r="G40" i="5"/>
  <c r="H40" i="5" s="1"/>
  <c r="G39" i="5"/>
  <c r="H39" i="5" s="1"/>
  <c r="G38" i="5"/>
  <c r="H38" i="5" s="1"/>
  <c r="E42" i="5"/>
  <c r="D42" i="5"/>
  <c r="C42" i="5"/>
  <c r="E41" i="5"/>
  <c r="D41" i="5"/>
  <c r="C41" i="5"/>
  <c r="E40" i="5"/>
  <c r="D40" i="5"/>
  <c r="C40" i="5"/>
  <c r="E39" i="5"/>
  <c r="D39" i="5"/>
  <c r="C39" i="5"/>
  <c r="E38" i="5"/>
  <c r="D38" i="5"/>
  <c r="C38" i="5"/>
  <c r="E37" i="5"/>
  <c r="G37" i="5" s="1"/>
  <c r="D37" i="5"/>
  <c r="C37" i="5"/>
  <c r="E36" i="5"/>
  <c r="G36" i="5" s="1"/>
  <c r="D36" i="5"/>
  <c r="C36" i="5"/>
  <c r="E35" i="5"/>
  <c r="G35" i="5" s="1"/>
  <c r="D35" i="5"/>
  <c r="C35" i="5"/>
  <c r="E34" i="5"/>
  <c r="G34" i="5" s="1"/>
  <c r="D34" i="5"/>
  <c r="C34" i="5"/>
  <c r="E32" i="5"/>
  <c r="D32" i="5"/>
  <c r="C32" i="5"/>
  <c r="E31" i="5"/>
  <c r="D31" i="5"/>
  <c r="C31" i="5"/>
  <c r="E30" i="5"/>
  <c r="D30" i="5"/>
  <c r="C30" i="5"/>
  <c r="E29" i="5"/>
  <c r="D29" i="5"/>
  <c r="C29" i="5"/>
  <c r="E24" i="5"/>
  <c r="D24" i="5"/>
  <c r="C24" i="5"/>
  <c r="E23" i="5"/>
  <c r="D23" i="5"/>
  <c r="C23" i="5"/>
  <c r="E22" i="5"/>
  <c r="D22" i="5"/>
  <c r="C22" i="5"/>
  <c r="E21" i="5"/>
  <c r="G21" i="5" s="1"/>
  <c r="D21" i="5"/>
  <c r="C21" i="5"/>
  <c r="E20" i="5"/>
  <c r="G20" i="5" s="1"/>
  <c r="D20" i="5"/>
  <c r="E19" i="5"/>
  <c r="G19" i="5" s="1"/>
  <c r="D19" i="5"/>
  <c r="C19" i="5"/>
  <c r="E18" i="5"/>
  <c r="G18" i="5" s="1"/>
  <c r="D18" i="5"/>
  <c r="C18" i="5"/>
  <c r="I31" i="6"/>
  <c r="C31" i="6"/>
  <c r="H24" i="16"/>
  <c r="J56" i="16"/>
  <c r="N15" i="4" a="1"/>
  <c r="N11" i="4" a="1"/>
  <c r="K13" i="4" a="1"/>
  <c r="O17" i="4" a="1"/>
  <c r="Q19" i="4" a="1"/>
  <c r="L15" i="4" a="1"/>
  <c r="M4" i="4" a="1"/>
  <c r="M21" i="4" a="1"/>
  <c r="K19" i="4" a="1"/>
  <c r="N6" i="4" a="1"/>
  <c r="L16" i="4" a="1"/>
  <c r="M12" i="4" a="1"/>
  <c r="L7" i="4" a="1"/>
  <c r="O9" i="4" a="1"/>
  <c r="O14" i="4" a="1"/>
  <c r="P18" i="4" a="1"/>
  <c r="F19" i="4" a="1"/>
  <c r="M11" i="4" a="1"/>
  <c r="Q21" i="4" a="1"/>
  <c r="R5" i="4" a="1"/>
  <c r="Q12" i="4" a="1"/>
  <c r="P11" i="4" a="1"/>
  <c r="O13" i="4" a="1"/>
  <c r="I18" i="4" a="1"/>
  <c r="L5" i="4" a="1"/>
  <c r="P4" i="4" a="1"/>
  <c r="M8" i="4" a="1"/>
  <c r="L8" i="4" a="1"/>
  <c r="D18" i="4" a="1"/>
  <c r="K15" i="4" a="1"/>
  <c r="Q18" i="4" a="1"/>
  <c r="C7" i="6" a="1"/>
  <c r="I4" i="4" a="1"/>
  <c r="M18" i="4" a="1"/>
  <c r="H19" i="4" a="1"/>
  <c r="Q16" i="4" a="1"/>
  <c r="P19" i="4" a="1"/>
  <c r="Q15" i="4" a="1"/>
  <c r="R17" i="4" a="1"/>
  <c r="O15" i="4" a="1"/>
  <c r="M14" i="4" a="1"/>
  <c r="Q13" i="4" a="1"/>
  <c r="G19" i="4" a="1"/>
  <c r="M16" i="4" a="1"/>
  <c r="N14" i="4" a="1"/>
  <c r="I8" i="4" a="1"/>
  <c r="P21" i="4" a="1"/>
  <c r="O21" i="4" a="1"/>
  <c r="P9" i="4" a="1"/>
  <c r="I9" i="4" a="1"/>
  <c r="K5" i="4" a="1"/>
  <c r="K8" i="4" a="1"/>
  <c r="L19" i="4" a="1"/>
  <c r="Q10" i="4" a="1"/>
  <c r="O7" i="4" a="1"/>
  <c r="C10" i="4" a="1"/>
  <c r="L13" i="4" a="1"/>
  <c r="L17" i="4" a="1"/>
  <c r="Q6" i="4" a="1"/>
  <c r="N12" i="4" a="1"/>
  <c r="N20" i="4" a="1"/>
  <c r="R9" i="4" a="1"/>
  <c r="O12" i="4" a="1"/>
  <c r="R6" i="4" a="1"/>
  <c r="J19" i="4" a="1"/>
  <c r="F10" i="4" a="1"/>
  <c r="K14" i="4" a="1"/>
  <c r="K4" i="4" a="1"/>
  <c r="O6" i="4" a="1"/>
  <c r="R20" i="4" a="1"/>
  <c r="Q20" i="4" a="1"/>
  <c r="R15" i="4" a="1"/>
  <c r="K10" i="4" a="1"/>
  <c r="G10" i="4" a="1"/>
  <c r="P7" i="4" a="1"/>
  <c r="K7" i="4" a="1"/>
  <c r="P12" i="4" a="1"/>
  <c r="K11" i="4" a="1"/>
  <c r="H17" i="4" a="1"/>
  <c r="K21" i="4" a="1"/>
  <c r="O16" i="4" a="1"/>
  <c r="O5" i="4" a="1"/>
  <c r="K17" i="4" a="1"/>
  <c r="I5" i="4" a="1"/>
  <c r="N5" i="4" a="1"/>
  <c r="R10" i="4" a="1"/>
  <c r="K20" i="4" a="1"/>
  <c r="N17" i="4" a="1"/>
  <c r="N8" i="4" a="1"/>
  <c r="I7" i="4" a="1"/>
  <c r="P10" i="4" a="1"/>
  <c r="M5" i="4" a="1"/>
  <c r="K9" i="4" a="1"/>
  <c r="K12" i="4" a="1"/>
  <c r="I6" i="4" a="1"/>
  <c r="J10" i="4" a="1"/>
  <c r="O20" i="4" a="1"/>
  <c r="H10" i="4" a="1"/>
  <c r="L4" i="4" a="1"/>
  <c r="L11" i="4" a="1"/>
  <c r="Q9" i="4" a="1"/>
  <c r="O4" i="4" a="1"/>
  <c r="L14" i="4" a="1"/>
  <c r="N18" i="4" a="1"/>
  <c r="N19" i="4" a="1"/>
  <c r="N21" i="4" a="1"/>
  <c r="Q11" i="4" a="1"/>
  <c r="J4" i="4" a="1"/>
  <c r="O19" i="4" a="1"/>
  <c r="P20" i="4" a="1"/>
  <c r="P5" i="4" a="1"/>
  <c r="Q7" i="4" a="1"/>
  <c r="J9" i="4" a="1"/>
  <c r="N13" i="4" a="1"/>
  <c r="P14" i="4" a="1"/>
  <c r="K6" i="4" a="1"/>
  <c r="N7" i="4" a="1"/>
  <c r="P8" i="4" a="1"/>
  <c r="L21" i="4" a="1"/>
  <c r="R14" i="4" a="1"/>
  <c r="R18" i="4" a="1"/>
  <c r="R12" i="4" a="1"/>
  <c r="J5" i="4" a="1"/>
  <c r="L20" i="4" a="1"/>
  <c r="M15" i="4" a="1"/>
  <c r="M19" i="4" a="1"/>
  <c r="L12" i="4" a="1"/>
  <c r="R21" i="4" a="1"/>
  <c r="O11" i="4" a="1"/>
  <c r="C22" i="4" a="1"/>
  <c r="O18" i="4" a="1"/>
  <c r="R8" i="4" a="1"/>
  <c r="E10" i="4" a="1"/>
  <c r="P17" i="4" a="1"/>
  <c r="D10" i="4" a="1"/>
  <c r="P15" i="4" a="1"/>
  <c r="J16" i="4" a="1"/>
  <c r="R7" i="4" a="1"/>
  <c r="R16" i="4" a="1"/>
  <c r="M7" i="4" a="1"/>
  <c r="O8" i="4" a="1"/>
  <c r="P16" i="4" a="1"/>
  <c r="M6" i="4" a="1"/>
  <c r="Q8" i="4" a="1"/>
  <c r="M9" i="4" a="1"/>
  <c r="I10" i="4" a="1"/>
  <c r="J7" i="4" a="1"/>
  <c r="N16" i="4" a="1"/>
  <c r="Q5" i="4" a="1"/>
  <c r="K16" i="4" a="1"/>
  <c r="R19" i="4" a="1"/>
  <c r="K18" i="4" a="1"/>
  <c r="O10" i="4" a="1"/>
  <c r="E19" i="4" a="1"/>
  <c r="N4" i="4" a="1"/>
  <c r="P13" i="4" a="1"/>
  <c r="L18" i="4" a="1"/>
  <c r="L6" i="4" a="1"/>
  <c r="M17" i="4" a="1"/>
  <c r="R4" i="4" a="1"/>
  <c r="N9" i="4" a="1"/>
  <c r="L10" i="4" a="1"/>
  <c r="N10" i="4" a="1"/>
  <c r="R11" i="4" a="1"/>
  <c r="M10" i="4" a="1"/>
  <c r="I19" i="4" a="1"/>
  <c r="Q14" i="4" a="1"/>
  <c r="Q17" i="4" a="1"/>
  <c r="Q4" i="4" a="1"/>
  <c r="L9" i="4" a="1"/>
  <c r="M13" i="4" a="1"/>
  <c r="R13" i="4" a="1"/>
  <c r="M20" i="4" a="1"/>
  <c r="J8" i="4" a="1"/>
  <c r="D19" i="4" a="1"/>
  <c r="P6" i="4" a="1"/>
  <c r="J6" i="4" a="1"/>
  <c r="H44" i="47" l="1"/>
  <c r="H43" i="42"/>
  <c r="H33" i="46"/>
  <c r="H33" i="41"/>
  <c r="H43" i="46"/>
  <c r="H43" i="41"/>
  <c r="H43" i="47"/>
  <c r="F45" i="49"/>
  <c r="F44" i="49"/>
  <c r="F46" i="49" s="1"/>
  <c r="C43" i="49"/>
  <c r="H44" i="42"/>
  <c r="G46" i="47"/>
  <c r="H45" i="47"/>
  <c r="G46" i="46"/>
  <c r="H45" i="46"/>
  <c r="G46" i="45"/>
  <c r="H45" i="45"/>
  <c r="H33" i="45"/>
  <c r="H44" i="45"/>
  <c r="G46" i="44"/>
  <c r="H45" i="44"/>
  <c r="H33" i="44"/>
  <c r="H44" i="44"/>
  <c r="H43" i="44"/>
  <c r="G46" i="43"/>
  <c r="H45" i="43"/>
  <c r="H44" i="43"/>
  <c r="H43" i="43"/>
  <c r="G46" i="42"/>
  <c r="H45" i="42"/>
  <c r="G46" i="41"/>
  <c r="H45" i="41"/>
  <c r="D10" i="21"/>
  <c r="D11" i="21" s="1"/>
  <c r="J19" i="4"/>
  <c r="J94" i="4" s="1"/>
  <c r="Q19" i="4"/>
  <c r="Q94" i="4" s="1"/>
  <c r="M19" i="4"/>
  <c r="M94" i="4" s="1"/>
  <c r="I19" i="4"/>
  <c r="I94" i="4" s="1"/>
  <c r="E19" i="4"/>
  <c r="E94" i="4" s="1"/>
  <c r="F19" i="4"/>
  <c r="F94" i="4" s="1"/>
  <c r="N19" i="4"/>
  <c r="N94" i="4" s="1"/>
  <c r="P19" i="4"/>
  <c r="P94" i="4" s="1"/>
  <c r="L19" i="4"/>
  <c r="L94" i="4" s="1"/>
  <c r="H19" i="4"/>
  <c r="H94" i="4" s="1"/>
  <c r="D19" i="4"/>
  <c r="D94" i="4" s="1"/>
  <c r="R19" i="4"/>
  <c r="R94" i="4" s="1"/>
  <c r="O19" i="4"/>
  <c r="O94" i="4" s="1"/>
  <c r="K19" i="4"/>
  <c r="K94" i="4" s="1"/>
  <c r="G19" i="4"/>
  <c r="G94" i="4" s="1"/>
  <c r="C20" i="5"/>
  <c r="V90" i="4"/>
  <c r="V42" i="4"/>
  <c r="J13" i="6"/>
  <c r="K13" i="6"/>
  <c r="E13" i="6"/>
  <c r="L13" i="6"/>
  <c r="D13" i="6"/>
  <c r="C7" i="6"/>
  <c r="C13" i="6" s="1"/>
  <c r="C22" i="4"/>
  <c r="G43" i="5"/>
  <c r="U89" i="4"/>
  <c r="F10" i="4"/>
  <c r="J10" i="4"/>
  <c r="Q10" i="4"/>
  <c r="M10" i="4"/>
  <c r="I10" i="4"/>
  <c r="E10" i="4"/>
  <c r="R10" i="4"/>
  <c r="N10" i="4"/>
  <c r="P10" i="4"/>
  <c r="L10" i="4"/>
  <c r="H10" i="4"/>
  <c r="D10" i="4"/>
  <c r="O10" i="4"/>
  <c r="K10" i="4"/>
  <c r="G10" i="4"/>
  <c r="C10" i="4"/>
  <c r="V91" i="4"/>
  <c r="V78" i="4"/>
  <c r="P21" i="4"/>
  <c r="L21" i="4"/>
  <c r="O21" i="4"/>
  <c r="K21" i="4"/>
  <c r="R21" i="4"/>
  <c r="N21" i="4"/>
  <c r="Q21" i="4"/>
  <c r="M21" i="4"/>
  <c r="V77" i="4"/>
  <c r="U76" i="4"/>
  <c r="V55" i="4"/>
  <c r="U41" i="4"/>
  <c r="U54" i="4"/>
  <c r="V56" i="4"/>
  <c r="V43" i="4"/>
  <c r="U28" i="4"/>
  <c r="R11" i="4"/>
  <c r="N11" i="4"/>
  <c r="Q11" i="4"/>
  <c r="M11" i="4"/>
  <c r="O11" i="4"/>
  <c r="K11" i="4"/>
  <c r="P11" i="4"/>
  <c r="L11" i="4"/>
  <c r="L18" i="4"/>
  <c r="L16" i="4"/>
  <c r="R13" i="4"/>
  <c r="L12" i="4"/>
  <c r="R7" i="4"/>
  <c r="J7" i="4"/>
  <c r="L4" i="4"/>
  <c r="O20" i="4"/>
  <c r="K20" i="4"/>
  <c r="M18" i="4"/>
  <c r="I18" i="4"/>
  <c r="O17" i="4"/>
  <c r="K17" i="4"/>
  <c r="Q16" i="4"/>
  <c r="M16" i="4"/>
  <c r="O15" i="4"/>
  <c r="K15" i="4"/>
  <c r="Q14" i="4"/>
  <c r="M14" i="4"/>
  <c r="O13" i="4"/>
  <c r="K13" i="4"/>
  <c r="Q12" i="4"/>
  <c r="M12" i="4"/>
  <c r="O9" i="4"/>
  <c r="K9" i="4"/>
  <c r="Q8" i="4"/>
  <c r="M8" i="4"/>
  <c r="I8" i="4"/>
  <c r="O7" i="4"/>
  <c r="K7" i="4"/>
  <c r="Q6" i="4"/>
  <c r="M6" i="4"/>
  <c r="I6" i="4"/>
  <c r="O5" i="4"/>
  <c r="K5" i="4"/>
  <c r="Q4" i="4"/>
  <c r="M4" i="4"/>
  <c r="I4" i="4"/>
  <c r="R20" i="4"/>
  <c r="N17" i="4"/>
  <c r="P14" i="4"/>
  <c r="N9" i="4"/>
  <c r="N5" i="4"/>
  <c r="O16" i="4"/>
  <c r="N20" i="4"/>
  <c r="N15" i="4"/>
  <c r="L8" i="4"/>
  <c r="J5" i="4"/>
  <c r="M20" i="4"/>
  <c r="K18" i="4"/>
  <c r="M15" i="4"/>
  <c r="K14" i="4"/>
  <c r="M9" i="4"/>
  <c r="O4" i="4"/>
  <c r="P18" i="4"/>
  <c r="P16" i="4"/>
  <c r="L14" i="4"/>
  <c r="R9" i="4"/>
  <c r="N7" i="4"/>
  <c r="P6" i="4"/>
  <c r="P4" i="4"/>
  <c r="Q20" i="4"/>
  <c r="Q17" i="4"/>
  <c r="K16" i="4"/>
  <c r="O14" i="4"/>
  <c r="Q13" i="4"/>
  <c r="O12" i="4"/>
  <c r="K12" i="4"/>
  <c r="I9" i="4"/>
  <c r="O8" i="4"/>
  <c r="K8" i="4"/>
  <c r="Q7" i="4"/>
  <c r="M7" i="4"/>
  <c r="I7" i="4"/>
  <c r="O6" i="4"/>
  <c r="K6" i="4"/>
  <c r="Q5" i="4"/>
  <c r="M5" i="4"/>
  <c r="K4" i="4"/>
  <c r="P20" i="4"/>
  <c r="L20" i="4"/>
  <c r="R18" i="4"/>
  <c r="N18" i="4"/>
  <c r="P17" i="4"/>
  <c r="L17" i="4"/>
  <c r="R16" i="4"/>
  <c r="N16" i="4"/>
  <c r="J16" i="4"/>
  <c r="P15" i="4"/>
  <c r="L15" i="4"/>
  <c r="R14" i="4"/>
  <c r="N14" i="4"/>
  <c r="P13" i="4"/>
  <c r="L13" i="4"/>
  <c r="R12" i="4"/>
  <c r="N12" i="4"/>
  <c r="P9" i="4"/>
  <c r="L9" i="4"/>
  <c r="R8" i="4"/>
  <c r="N8" i="4"/>
  <c r="J8" i="4"/>
  <c r="P7" i="4"/>
  <c r="L7" i="4"/>
  <c r="R6" i="4"/>
  <c r="N6" i="4"/>
  <c r="J6" i="4"/>
  <c r="P5" i="4"/>
  <c r="L5" i="4"/>
  <c r="R4" i="4"/>
  <c r="N4" i="4"/>
  <c r="J4" i="4"/>
  <c r="R17" i="4"/>
  <c r="P12" i="4"/>
  <c r="P8" i="4"/>
  <c r="R5" i="4"/>
  <c r="O18" i="4"/>
  <c r="M17" i="4"/>
  <c r="Q15" i="4"/>
  <c r="M13" i="4"/>
  <c r="Q9" i="4"/>
  <c r="I5" i="4"/>
  <c r="R15" i="4"/>
  <c r="N13" i="4"/>
  <c r="J9" i="4"/>
  <c r="L6" i="4"/>
  <c r="Q18" i="4"/>
  <c r="D18" i="4"/>
  <c r="H17" i="4"/>
  <c r="D31" i="6"/>
  <c r="D32" i="6" s="1"/>
  <c r="E32" i="6"/>
  <c r="F31" i="6"/>
  <c r="F32" i="6" s="1"/>
  <c r="G31" i="6"/>
  <c r="G32" i="6" s="1"/>
  <c r="H31" i="6"/>
  <c r="H32" i="6" s="1"/>
  <c r="I32" i="6"/>
  <c r="J31" i="6"/>
  <c r="J32" i="6" s="1"/>
  <c r="K31" i="6"/>
  <c r="K32" i="6" s="1"/>
  <c r="L31" i="6"/>
  <c r="L32" i="6" s="1"/>
  <c r="M31" i="6"/>
  <c r="M32" i="6" s="1"/>
  <c r="N31" i="6"/>
  <c r="N32" i="6" s="1"/>
  <c r="O31" i="6"/>
  <c r="O32" i="6" s="1"/>
  <c r="P31" i="6"/>
  <c r="P32" i="6" s="1"/>
  <c r="Q31" i="6"/>
  <c r="Q32" i="6" s="1"/>
  <c r="R31" i="6"/>
  <c r="R32" i="6" s="1"/>
  <c r="C32" i="6"/>
  <c r="E17" i="4" a="1"/>
  <c r="G11" i="4" a="1"/>
  <c r="F16" i="4" a="1"/>
  <c r="F18" i="4" a="1"/>
  <c r="G17" i="4" a="1"/>
  <c r="G18" i="4" a="1"/>
  <c r="F11" i="4" a="1"/>
  <c r="I16" i="4" a="1"/>
  <c r="C5" i="6" a="1"/>
  <c r="I17" i="4" a="1"/>
  <c r="C6" i="6" a="1"/>
  <c r="J18" i="4" a="1"/>
  <c r="D17" i="4" a="1"/>
  <c r="E18" i="4" a="1"/>
  <c r="I11" i="4" a="1"/>
  <c r="J11" i="4" a="1"/>
  <c r="D11" i="4" a="1"/>
  <c r="J17" i="4" a="1"/>
  <c r="F17" i="4" a="1"/>
  <c r="H11" i="4" a="1"/>
  <c r="E11" i="4" a="1"/>
  <c r="H18" i="4" a="1"/>
  <c r="J18" i="4" l="1"/>
  <c r="E17" i="4"/>
  <c r="I16" i="4"/>
  <c r="J17" i="4"/>
  <c r="D17" i="4"/>
  <c r="I17" i="4"/>
  <c r="F13" i="6"/>
  <c r="F14" i="6" s="1"/>
  <c r="I13" i="6"/>
  <c r="I14" i="6" s="1"/>
  <c r="G13" i="6"/>
  <c r="G14" i="6" s="1"/>
  <c r="H13" i="6"/>
  <c r="H14" i="6" s="1"/>
  <c r="C45" i="49"/>
  <c r="C44" i="49"/>
  <c r="E18" i="4"/>
  <c r="J14" i="6"/>
  <c r="C70" i="4"/>
  <c r="J11" i="4"/>
  <c r="K55" i="47"/>
  <c r="G55" i="47"/>
  <c r="G54" i="47"/>
  <c r="G50" i="47"/>
  <c r="K54" i="47"/>
  <c r="K50" i="47"/>
  <c r="I11" i="4"/>
  <c r="K55" i="46"/>
  <c r="G55" i="46"/>
  <c r="K54" i="46"/>
  <c r="G50" i="46"/>
  <c r="G54" i="46"/>
  <c r="K50" i="46"/>
  <c r="H18" i="4"/>
  <c r="H11" i="4"/>
  <c r="K55" i="45"/>
  <c r="G54" i="45"/>
  <c r="G55" i="45"/>
  <c r="G50" i="45"/>
  <c r="K54" i="45"/>
  <c r="K50" i="45"/>
  <c r="G17" i="4"/>
  <c r="G18" i="4"/>
  <c r="G11" i="4"/>
  <c r="K55" i="44"/>
  <c r="G50" i="44"/>
  <c r="G55" i="44"/>
  <c r="G54" i="44"/>
  <c r="K54" i="44"/>
  <c r="K50" i="44"/>
  <c r="F17" i="4"/>
  <c r="F18" i="4"/>
  <c r="F11" i="4"/>
  <c r="G50" i="43"/>
  <c r="K55" i="43"/>
  <c r="G55" i="43"/>
  <c r="G54" i="43"/>
  <c r="K50" i="43"/>
  <c r="K54" i="43"/>
  <c r="E11" i="4"/>
  <c r="K55" i="42"/>
  <c r="G55" i="42"/>
  <c r="K54" i="42"/>
  <c r="G50" i="42"/>
  <c r="K50" i="42"/>
  <c r="G54" i="42"/>
  <c r="D11" i="4"/>
  <c r="K55" i="41"/>
  <c r="G55" i="41"/>
  <c r="G54" i="41"/>
  <c r="G50" i="41"/>
  <c r="K54" i="41"/>
  <c r="K50" i="41"/>
  <c r="K14" i="6"/>
  <c r="C14" i="6"/>
  <c r="O59" i="4"/>
  <c r="O81" i="4"/>
  <c r="E59" i="4"/>
  <c r="E81" i="4"/>
  <c r="R59" i="4"/>
  <c r="R81" i="4"/>
  <c r="I59" i="4"/>
  <c r="I81" i="4"/>
  <c r="Q59" i="4"/>
  <c r="Q81" i="4"/>
  <c r="H59" i="4"/>
  <c r="H81" i="4"/>
  <c r="L59" i="4"/>
  <c r="L81" i="4"/>
  <c r="J59" i="4"/>
  <c r="J81" i="4"/>
  <c r="M59" i="4"/>
  <c r="M81" i="4"/>
  <c r="P59" i="4"/>
  <c r="P81" i="4"/>
  <c r="D59" i="4"/>
  <c r="D81" i="4"/>
  <c r="G59" i="4"/>
  <c r="G81" i="4"/>
  <c r="N59" i="4"/>
  <c r="N81" i="4"/>
  <c r="K59" i="4"/>
  <c r="K81" i="4"/>
  <c r="F59" i="4"/>
  <c r="F81" i="4"/>
  <c r="R33" i="4"/>
  <c r="R46" i="4"/>
  <c r="I33" i="4"/>
  <c r="I46" i="4"/>
  <c r="D33" i="4"/>
  <c r="D46" i="4"/>
  <c r="M33" i="4"/>
  <c r="M46" i="4"/>
  <c r="H33" i="4"/>
  <c r="H46" i="4"/>
  <c r="Q33" i="4"/>
  <c r="Q46" i="4"/>
  <c r="L33" i="4"/>
  <c r="L46" i="4"/>
  <c r="J33" i="4"/>
  <c r="J46" i="4"/>
  <c r="P33" i="4"/>
  <c r="P46" i="4"/>
  <c r="G33" i="4"/>
  <c r="G46" i="4"/>
  <c r="N33" i="4"/>
  <c r="N46" i="4"/>
  <c r="K33" i="4"/>
  <c r="K46" i="4"/>
  <c r="F33" i="4"/>
  <c r="F46" i="4"/>
  <c r="O33" i="4"/>
  <c r="O46" i="4"/>
  <c r="E33" i="4"/>
  <c r="E46" i="4"/>
  <c r="T12" i="6"/>
  <c r="L14" i="6"/>
  <c r="D14" i="6"/>
  <c r="E14" i="6"/>
  <c r="M70" i="4"/>
  <c r="O70" i="4"/>
  <c r="I70" i="4"/>
  <c r="E70" i="4"/>
  <c r="G70" i="4"/>
  <c r="L70" i="4"/>
  <c r="N70" i="4"/>
  <c r="Q70" i="4"/>
  <c r="K70" i="4"/>
  <c r="D70" i="4"/>
  <c r="F70" i="4"/>
  <c r="H70" i="4"/>
  <c r="J70" i="4"/>
  <c r="P70" i="4"/>
  <c r="R70" i="4"/>
  <c r="N95" i="4"/>
  <c r="L95" i="4"/>
  <c r="I95" i="4"/>
  <c r="J95" i="4"/>
  <c r="K95" i="4"/>
  <c r="O95" i="4"/>
  <c r="M95" i="4"/>
  <c r="P95" i="4"/>
  <c r="R95" i="4"/>
  <c r="Q47" i="4"/>
  <c r="Q95" i="4"/>
  <c r="R82" i="4"/>
  <c r="R47" i="4"/>
  <c r="L82" i="4"/>
  <c r="L47" i="4"/>
  <c r="O82" i="4"/>
  <c r="O47" i="4"/>
  <c r="J82" i="4"/>
  <c r="J47" i="4"/>
  <c r="P82" i="4"/>
  <c r="P47" i="4"/>
  <c r="M82" i="4"/>
  <c r="M47" i="4"/>
  <c r="N82" i="4"/>
  <c r="N47" i="4"/>
  <c r="K82" i="4"/>
  <c r="K47" i="4"/>
  <c r="I82" i="4"/>
  <c r="I47" i="4"/>
  <c r="Q82" i="4"/>
  <c r="V89" i="4"/>
  <c r="F16" i="4"/>
  <c r="V76" i="4"/>
  <c r="V54" i="4"/>
  <c r="V41" i="4"/>
  <c r="R96" i="4"/>
  <c r="Q96" i="4"/>
  <c r="L96" i="4"/>
  <c r="P96" i="4"/>
  <c r="K96" i="4"/>
  <c r="O96" i="4"/>
  <c r="N96" i="4"/>
  <c r="M96" i="4"/>
  <c r="D17" i="5"/>
  <c r="C17" i="5"/>
  <c r="E17" i="5"/>
  <c r="G17" i="5" s="1"/>
  <c r="G33" i="5" s="1"/>
  <c r="K15" i="6"/>
  <c r="J15" i="6"/>
  <c r="C6" i="6"/>
  <c r="C5" i="6"/>
  <c r="G15" i="4" a="1"/>
  <c r="J15" i="4" a="1"/>
  <c r="I12" i="4" a="1"/>
  <c r="D15" i="4" a="1"/>
  <c r="J13" i="4" a="1"/>
  <c r="E15" i="4" a="1"/>
  <c r="D14" i="4" a="1"/>
  <c r="E14" i="4" a="1"/>
  <c r="I15" i="4" a="1"/>
  <c r="J12" i="4" a="1"/>
  <c r="F14" i="4" a="1"/>
  <c r="H14" i="4" a="1"/>
  <c r="G14" i="4" a="1"/>
  <c r="C4" i="4" a="1"/>
  <c r="I14" i="4" a="1"/>
  <c r="F15" i="4" a="1"/>
  <c r="C4" i="6" a="1"/>
  <c r="J14" i="4" a="1"/>
  <c r="D16" i="4" a="1"/>
  <c r="H16" i="4" a="1"/>
  <c r="E16" i="4" a="1"/>
  <c r="G16" i="4" a="1"/>
  <c r="I13" i="4" a="1"/>
  <c r="H15" i="4" a="1"/>
  <c r="I15" i="6" l="1"/>
  <c r="C46" i="49"/>
  <c r="U70" i="4"/>
  <c r="J14" i="4"/>
  <c r="J15" i="4"/>
  <c r="J13" i="4"/>
  <c r="J12" i="4"/>
  <c r="K51" i="47"/>
  <c r="K52" i="47" s="1"/>
  <c r="K53" i="47"/>
  <c r="G53" i="47"/>
  <c r="G51" i="47"/>
  <c r="G52" i="47" s="1"/>
  <c r="I13" i="4"/>
  <c r="I12" i="4"/>
  <c r="I14" i="4"/>
  <c r="I15" i="4"/>
  <c r="K51" i="46"/>
  <c r="K52" i="46" s="1"/>
  <c r="K53" i="46"/>
  <c r="G53" i="46"/>
  <c r="G51" i="46"/>
  <c r="G52" i="46" s="1"/>
  <c r="H14" i="4"/>
  <c r="H15" i="4"/>
  <c r="K51" i="45"/>
  <c r="K52" i="45" s="1"/>
  <c r="K53" i="45"/>
  <c r="G53" i="45"/>
  <c r="G51" i="45"/>
  <c r="G52" i="45" s="1"/>
  <c r="G14" i="4"/>
  <c r="G15" i="4"/>
  <c r="G53" i="44"/>
  <c r="G51" i="44"/>
  <c r="G52" i="44" s="1"/>
  <c r="K51" i="44"/>
  <c r="K52" i="44" s="1"/>
  <c r="K53" i="44"/>
  <c r="F14" i="4"/>
  <c r="F15" i="4"/>
  <c r="K51" i="43"/>
  <c r="K52" i="43" s="1"/>
  <c r="K53" i="43"/>
  <c r="G53" i="43"/>
  <c r="G51" i="43"/>
  <c r="G52" i="43" s="1"/>
  <c r="E15" i="4"/>
  <c r="E14" i="4"/>
  <c r="K51" i="42"/>
  <c r="K52" i="42" s="1"/>
  <c r="K53" i="42"/>
  <c r="G53" i="42"/>
  <c r="G51" i="42"/>
  <c r="G52" i="42" s="1"/>
  <c r="D14" i="4"/>
  <c r="D15" i="4"/>
  <c r="K51" i="41"/>
  <c r="K52" i="41" s="1"/>
  <c r="K53" i="41"/>
  <c r="G53" i="41"/>
  <c r="G51" i="41"/>
  <c r="G52" i="41" s="1"/>
  <c r="C77" i="5"/>
  <c r="C78" i="5" s="1"/>
  <c r="T13" i="6"/>
  <c r="D16" i="4"/>
  <c r="G16" i="4"/>
  <c r="H16" i="4"/>
  <c r="E16" i="4"/>
  <c r="C4" i="6"/>
  <c r="C55" i="6" s="1"/>
  <c r="C4" i="4"/>
  <c r="C19" i="4" a="1"/>
  <c r="I20" i="4" a="1"/>
  <c r="J21" i="4" a="1"/>
  <c r="J20" i="4" a="1"/>
  <c r="I21" i="4" a="1"/>
  <c r="C19" i="4" l="1"/>
  <c r="J20" i="4"/>
  <c r="J21" i="4"/>
  <c r="I96" i="4"/>
  <c r="J96" i="4"/>
  <c r="I20" i="4"/>
  <c r="I21" i="4"/>
  <c r="O15" i="6"/>
  <c r="L15" i="6"/>
  <c r="P15" i="6"/>
  <c r="M15" i="6"/>
  <c r="Q15" i="6"/>
  <c r="N15" i="6"/>
  <c r="R15" i="6"/>
  <c r="C94" i="4" l="1"/>
  <c r="U94" i="4" s="1"/>
  <c r="C46" i="4"/>
  <c r="U46" i="4" s="1"/>
  <c r="C33" i="4"/>
  <c r="U33" i="4" s="1"/>
  <c r="C19" i="18" s="1"/>
  <c r="C21" i="18" s="1"/>
  <c r="C59" i="4"/>
  <c r="U59" i="4" s="1"/>
  <c r="C81" i="4"/>
  <c r="U81" i="4" s="1"/>
  <c r="A4" i="27"/>
  <c r="E44" i="4"/>
  <c r="C41" i="18"/>
  <c r="D41" i="18" s="1"/>
  <c r="E41" i="18" s="1"/>
  <c r="F41" i="18" s="1"/>
  <c r="D27" i="18"/>
  <c r="H54" i="27"/>
  <c r="H47" i="27"/>
  <c r="H46" i="27"/>
  <c r="H45" i="27"/>
  <c r="I43" i="27"/>
  <c r="J35" i="27"/>
  <c r="J34" i="27"/>
  <c r="J33" i="27"/>
  <c r="J32" i="27"/>
  <c r="H25" i="27"/>
  <c r="H24" i="27"/>
  <c r="H23" i="27"/>
  <c r="G18" i="27"/>
  <c r="G15" i="27"/>
  <c r="H13" i="27"/>
  <c r="A33" i="27" s="1"/>
  <c r="A42" i="27" s="1"/>
  <c r="H12" i="27"/>
  <c r="A32" i="27" s="1"/>
  <c r="A41" i="27" s="1"/>
  <c r="H11" i="27"/>
  <c r="A31" i="27" s="1"/>
  <c r="A40" i="27" s="1"/>
  <c r="O10" i="27"/>
  <c r="J10" i="27"/>
  <c r="I15" i="27" s="1"/>
  <c r="C10" i="18"/>
  <c r="D10" i="18" s="1"/>
  <c r="E10" i="18" s="1"/>
  <c r="F10" i="18" s="1"/>
  <c r="A25" i="4"/>
  <c r="A73" i="4"/>
  <c r="I51" i="4"/>
  <c r="A51" i="4"/>
  <c r="A11" i="6" s="1"/>
  <c r="I38" i="4"/>
  <c r="A38" i="4"/>
  <c r="D79" i="4"/>
  <c r="E79" i="4"/>
  <c r="F79" i="4"/>
  <c r="G79" i="4"/>
  <c r="H79" i="4"/>
  <c r="I79" i="4"/>
  <c r="J79" i="4"/>
  <c r="K79" i="4"/>
  <c r="L79" i="4"/>
  <c r="M79" i="4"/>
  <c r="N79" i="4"/>
  <c r="O79" i="4"/>
  <c r="P79" i="4"/>
  <c r="Q79" i="4"/>
  <c r="R79" i="4"/>
  <c r="C79" i="4"/>
  <c r="D57" i="4"/>
  <c r="E57" i="4"/>
  <c r="F57" i="4"/>
  <c r="G57" i="4"/>
  <c r="H57" i="4"/>
  <c r="I57" i="4"/>
  <c r="J57" i="4"/>
  <c r="K57" i="4"/>
  <c r="L57" i="4"/>
  <c r="M57" i="4"/>
  <c r="N57" i="4"/>
  <c r="O57" i="4"/>
  <c r="P57" i="4"/>
  <c r="Q57" i="4"/>
  <c r="R57" i="4"/>
  <c r="C44" i="4"/>
  <c r="C57" i="4"/>
  <c r="D44" i="4"/>
  <c r="F44" i="4"/>
  <c r="G44" i="4"/>
  <c r="H44" i="4"/>
  <c r="I44" i="4"/>
  <c r="J44" i="4"/>
  <c r="K44" i="4"/>
  <c r="L44" i="4"/>
  <c r="M44" i="4"/>
  <c r="N44" i="4"/>
  <c r="O44" i="4"/>
  <c r="P44" i="4"/>
  <c r="Q44" i="4"/>
  <c r="R44" i="4"/>
  <c r="T30" i="4"/>
  <c r="T34" i="4"/>
  <c r="T35" i="4"/>
  <c r="T29" i="4"/>
  <c r="D31" i="4"/>
  <c r="E31" i="4"/>
  <c r="F31" i="4"/>
  <c r="G31" i="4"/>
  <c r="H31" i="4"/>
  <c r="I31" i="4"/>
  <c r="J31" i="4"/>
  <c r="K31" i="4"/>
  <c r="L31" i="4"/>
  <c r="M31" i="4"/>
  <c r="N31" i="4"/>
  <c r="O31" i="4"/>
  <c r="P31" i="4"/>
  <c r="Q31" i="4"/>
  <c r="R31" i="4"/>
  <c r="C31" i="4"/>
  <c r="C6" i="4" a="1"/>
  <c r="D6" i="4" a="1"/>
  <c r="C9" i="4" a="1"/>
  <c r="H6" i="4" a="1"/>
  <c r="C5" i="4" a="1"/>
  <c r="E4" i="4" a="1"/>
  <c r="F6" i="4" a="1"/>
  <c r="F4" i="4" a="1"/>
  <c r="G9" i="4" a="1"/>
  <c r="F5" i="4" a="1"/>
  <c r="G5" i="4" a="1"/>
  <c r="D4" i="4" a="1"/>
  <c r="E9" i="4" a="1"/>
  <c r="H4" i="4" a="1"/>
  <c r="E6" i="4" a="1"/>
  <c r="F9" i="4" a="1"/>
  <c r="D5" i="4" a="1"/>
  <c r="E5" i="4" a="1"/>
  <c r="G6" i="4" a="1"/>
  <c r="H9" i="4" a="1"/>
  <c r="G4" i="4" a="1"/>
  <c r="D9" i="4" a="1"/>
  <c r="H5" i="4" a="1"/>
  <c r="A53" i="27" l="1"/>
  <c r="A67" i="27"/>
  <c r="A54" i="27"/>
  <c r="A68" i="27"/>
  <c r="H44" i="27"/>
  <c r="D60" i="27"/>
  <c r="C60" i="27"/>
  <c r="D74" i="27"/>
  <c r="E74" i="27"/>
  <c r="B74" i="27"/>
  <c r="E60" i="27"/>
  <c r="B60" i="27"/>
  <c r="C74" i="27"/>
  <c r="A55" i="27"/>
  <c r="A69" i="27"/>
  <c r="C11" i="6"/>
  <c r="M11" i="6" s="1"/>
  <c r="B52" i="6"/>
  <c r="V94" i="4"/>
  <c r="D19" i="18"/>
  <c r="V46" i="4"/>
  <c r="F19" i="18"/>
  <c r="V81" i="4"/>
  <c r="E19" i="18"/>
  <c r="V59" i="4"/>
  <c r="C40" i="4"/>
  <c r="J11" i="27"/>
  <c r="N10" i="27"/>
  <c r="A5" i="27"/>
  <c r="J12" i="27"/>
  <c r="D4" i="4"/>
  <c r="G4" i="4"/>
  <c r="F4" i="4"/>
  <c r="H4" i="4"/>
  <c r="E4" i="4"/>
  <c r="E9" i="4"/>
  <c r="H9" i="4"/>
  <c r="E6" i="4"/>
  <c r="H5" i="4"/>
  <c r="D5" i="4"/>
  <c r="G9" i="4"/>
  <c r="H6" i="4"/>
  <c r="D6" i="4"/>
  <c r="G5" i="4"/>
  <c r="D9" i="4"/>
  <c r="F9" i="4"/>
  <c r="G6" i="4"/>
  <c r="F5" i="4"/>
  <c r="F6" i="4"/>
  <c r="E5" i="4"/>
  <c r="C9" i="4"/>
  <c r="C6" i="4"/>
  <c r="C5" i="4"/>
  <c r="T56" i="6" l="1"/>
  <c r="U56" i="6" s="1"/>
  <c r="T103" i="6"/>
  <c r="U103" i="6" s="1"/>
  <c r="T85" i="6"/>
  <c r="U85" i="6" s="1"/>
  <c r="T104" i="6"/>
  <c r="U104" i="6" s="1"/>
  <c r="T59" i="6"/>
  <c r="U59" i="6" s="1"/>
  <c r="T70" i="6"/>
  <c r="U70" i="6" s="1"/>
  <c r="T81" i="6"/>
  <c r="U81" i="6" s="1"/>
  <c r="T92" i="6"/>
  <c r="U92" i="6" s="1"/>
  <c r="T58" i="6"/>
  <c r="U58" i="6" s="1"/>
  <c r="T93" i="6"/>
  <c r="U93" i="6" s="1"/>
  <c r="T63" i="6"/>
  <c r="U63" i="6" s="1"/>
  <c r="T67" i="6"/>
  <c r="U67" i="6" s="1"/>
  <c r="T78" i="6"/>
  <c r="U78" i="6" s="1"/>
  <c r="T89" i="6"/>
  <c r="U89" i="6" s="1"/>
  <c r="T98" i="6"/>
  <c r="U98" i="6" s="1"/>
  <c r="T64" i="6"/>
  <c r="U64" i="6" s="1"/>
  <c r="T79" i="6"/>
  <c r="U79" i="6" s="1"/>
  <c r="T83" i="6"/>
  <c r="U83" i="6" s="1"/>
  <c r="T94" i="6"/>
  <c r="U94" i="6" s="1"/>
  <c r="T105" i="6"/>
  <c r="U105" i="6" s="1"/>
  <c r="T100" i="6"/>
  <c r="U100" i="6" s="1"/>
  <c r="T82" i="6"/>
  <c r="U82" i="6" s="1"/>
  <c r="T101" i="6"/>
  <c r="U101" i="6" s="1"/>
  <c r="T71" i="6"/>
  <c r="U71" i="6" s="1"/>
  <c r="T75" i="6"/>
  <c r="U75" i="6" s="1"/>
  <c r="T86" i="6"/>
  <c r="U86" i="6" s="1"/>
  <c r="T97" i="6"/>
  <c r="U97" i="6" s="1"/>
  <c r="T60" i="6"/>
  <c r="U60" i="6" s="1"/>
  <c r="T106" i="6"/>
  <c r="U106" i="6" s="1"/>
  <c r="T95" i="6"/>
  <c r="U95" i="6" s="1"/>
  <c r="T91" i="6"/>
  <c r="U91" i="6" s="1"/>
  <c r="T102" i="6"/>
  <c r="U102" i="6" s="1"/>
  <c r="T68" i="6"/>
  <c r="U68" i="6" s="1"/>
  <c r="T76" i="6"/>
  <c r="U76" i="6" s="1"/>
  <c r="T61" i="6"/>
  <c r="U61" i="6" s="1"/>
  <c r="T80" i="6"/>
  <c r="U80" i="6" s="1"/>
  <c r="T66" i="6"/>
  <c r="U66" i="6" s="1"/>
  <c r="T99" i="6"/>
  <c r="U99" i="6" s="1"/>
  <c r="T57" i="6"/>
  <c r="U57" i="6" s="1"/>
  <c r="T84" i="6"/>
  <c r="U84" i="6" s="1"/>
  <c r="T69" i="6"/>
  <c r="U69" i="6" s="1"/>
  <c r="T88" i="6"/>
  <c r="U88" i="6" s="1"/>
  <c r="T74" i="6"/>
  <c r="U74" i="6" s="1"/>
  <c r="T107" i="6"/>
  <c r="U107" i="6" s="1"/>
  <c r="T65" i="6"/>
  <c r="U65" i="6" s="1"/>
  <c r="T87" i="6"/>
  <c r="U87" i="6" s="1"/>
  <c r="T77" i="6"/>
  <c r="U77" i="6" s="1"/>
  <c r="T96" i="6"/>
  <c r="U96" i="6" s="1"/>
  <c r="T90" i="6"/>
  <c r="U90" i="6" s="1"/>
  <c r="T62" i="6"/>
  <c r="U62" i="6" s="1"/>
  <c r="T73" i="6"/>
  <c r="U73" i="6" s="1"/>
  <c r="T72" i="6"/>
  <c r="U72" i="6" s="1"/>
  <c r="I18" i="27"/>
  <c r="C53" i="4"/>
  <c r="N83" i="4"/>
  <c r="O83" i="4"/>
  <c r="P83" i="4"/>
  <c r="K83" i="4"/>
  <c r="J83" i="4"/>
  <c r="M83" i="4"/>
  <c r="L83" i="4"/>
  <c r="I61" i="4"/>
  <c r="I71" i="4" s="1"/>
  <c r="I83" i="4"/>
  <c r="Q83" i="4"/>
  <c r="R83" i="4"/>
  <c r="L61" i="4"/>
  <c r="L71" i="4" s="1"/>
  <c r="M61" i="4"/>
  <c r="M71" i="4" s="1"/>
  <c r="O61" i="4"/>
  <c r="O71" i="4" s="1"/>
  <c r="J60" i="4"/>
  <c r="R60" i="4"/>
  <c r="K61" i="4"/>
  <c r="K71" i="4" s="1"/>
  <c r="P61" i="4"/>
  <c r="P71" i="4" s="1"/>
  <c r="I60" i="4"/>
  <c r="O60" i="4"/>
  <c r="M60" i="4"/>
  <c r="P60" i="4"/>
  <c r="N60" i="4"/>
  <c r="Q60" i="4"/>
  <c r="J61" i="4"/>
  <c r="J71" i="4" s="1"/>
  <c r="K60" i="4"/>
  <c r="Q61" i="4"/>
  <c r="Q71" i="4" s="1"/>
  <c r="R61" i="4"/>
  <c r="R71" i="4" s="1"/>
  <c r="L60" i="4"/>
  <c r="N61" i="4"/>
  <c r="N71" i="4" s="1"/>
  <c r="O48" i="4"/>
  <c r="K48" i="4"/>
  <c r="N48" i="4"/>
  <c r="P48" i="4"/>
  <c r="M48" i="4"/>
  <c r="L48" i="4"/>
  <c r="I48" i="4"/>
  <c r="J48" i="4"/>
  <c r="Q48" i="4"/>
  <c r="R48" i="4"/>
  <c r="J35" i="4"/>
  <c r="Q35" i="4"/>
  <c r="I35" i="4"/>
  <c r="R35" i="4"/>
  <c r="N35" i="4"/>
  <c r="O35" i="4"/>
  <c r="K35" i="4"/>
  <c r="O34" i="4"/>
  <c r="L34" i="4"/>
  <c r="P34" i="4"/>
  <c r="N34" i="4"/>
  <c r="J34" i="4"/>
  <c r="I34" i="4"/>
  <c r="P35" i="4"/>
  <c r="K34" i="4"/>
  <c r="R34" i="4"/>
  <c r="M34" i="4"/>
  <c r="Q34" i="4"/>
  <c r="M35" i="4"/>
  <c r="L35" i="4"/>
  <c r="H40" i="4"/>
  <c r="I40" i="4"/>
  <c r="J40" i="4"/>
  <c r="K40" i="4"/>
  <c r="L40" i="4"/>
  <c r="M40" i="4"/>
  <c r="N40" i="4"/>
  <c r="O40" i="4"/>
  <c r="P40" i="4"/>
  <c r="Q40" i="4"/>
  <c r="R40" i="4"/>
  <c r="D73" i="5"/>
  <c r="C73" i="5"/>
  <c r="E70" i="5"/>
  <c r="E71" i="5"/>
  <c r="E72" i="5"/>
  <c r="H72" i="5"/>
  <c r="J72" i="5" s="1" a="1"/>
  <c r="J72" i="5" s="1"/>
  <c r="H70" i="5"/>
  <c r="J70" i="5" s="1" a="1"/>
  <c r="J70" i="5" s="1"/>
  <c r="H71" i="5"/>
  <c r="J71" i="5" s="1" a="1"/>
  <c r="J71" i="5" s="1"/>
  <c r="J79" i="16"/>
  <c r="K79" i="16" s="1"/>
  <c r="J84" i="16"/>
  <c r="K84" i="16" s="1"/>
  <c r="J85" i="16"/>
  <c r="K85" i="16" s="1"/>
  <c r="J86" i="16"/>
  <c r="K86" i="16" s="1"/>
  <c r="J87" i="16"/>
  <c r="K87" i="16" s="1"/>
  <c r="J88" i="16"/>
  <c r="K88" i="16" s="1"/>
  <c r="J89" i="16"/>
  <c r="K89" i="16" s="1"/>
  <c r="J90" i="16"/>
  <c r="K90" i="16" s="1"/>
  <c r="H83" i="16"/>
  <c r="H84" i="16"/>
  <c r="H86" i="16"/>
  <c r="H87" i="16"/>
  <c r="H88" i="16"/>
  <c r="H89" i="16"/>
  <c r="H90" i="16"/>
  <c r="J82" i="16"/>
  <c r="K82" i="16" s="1"/>
  <c r="J80" i="16"/>
  <c r="K80" i="16" s="1"/>
  <c r="J78" i="16"/>
  <c r="K78" i="16" s="1"/>
  <c r="I72" i="16"/>
  <c r="D32" i="18" s="1"/>
  <c r="J76" i="16"/>
  <c r="K76" i="16" s="1"/>
  <c r="J75" i="16"/>
  <c r="K75" i="16" s="1"/>
  <c r="J74" i="16"/>
  <c r="K74" i="16" s="1"/>
  <c r="J73" i="16"/>
  <c r="J68" i="16"/>
  <c r="K68" i="16" s="1"/>
  <c r="J69" i="16"/>
  <c r="K69" i="16" s="1"/>
  <c r="J59" i="16"/>
  <c r="K59" i="16" s="1"/>
  <c r="J60" i="16"/>
  <c r="J61" i="16"/>
  <c r="K61" i="16" s="1"/>
  <c r="J62" i="16"/>
  <c r="K62" i="16" s="1"/>
  <c r="J63" i="16"/>
  <c r="K63" i="16" s="1"/>
  <c r="J64" i="16"/>
  <c r="K64" i="16" s="1"/>
  <c r="J65" i="16"/>
  <c r="K65" i="16" s="1"/>
  <c r="J58" i="16"/>
  <c r="K58" i="16" s="1"/>
  <c r="J54" i="16"/>
  <c r="K54" i="16" s="1"/>
  <c r="J55" i="16"/>
  <c r="K55" i="16" s="1"/>
  <c r="J53" i="16"/>
  <c r="K53" i="16" s="1"/>
  <c r="J52" i="16"/>
  <c r="K52" i="16" s="1"/>
  <c r="J51" i="16"/>
  <c r="K51" i="16" s="1"/>
  <c r="J49" i="16"/>
  <c r="K49" i="16" s="1"/>
  <c r="J48" i="16"/>
  <c r="K48" i="16" s="1"/>
  <c r="J47" i="16"/>
  <c r="K47" i="16" s="1"/>
  <c r="J45" i="16"/>
  <c r="K45" i="16" s="1"/>
  <c r="J44" i="16"/>
  <c r="K44" i="16" s="1"/>
  <c r="J42" i="16"/>
  <c r="K42" i="16" s="1"/>
  <c r="J40" i="16"/>
  <c r="K40" i="16" s="1"/>
  <c r="J38" i="16"/>
  <c r="K38" i="16" s="1"/>
  <c r="J37" i="16"/>
  <c r="J34" i="16"/>
  <c r="K34" i="16" s="1"/>
  <c r="J35" i="16"/>
  <c r="K35" i="16" s="1"/>
  <c r="J33" i="16"/>
  <c r="K33" i="16" s="1"/>
  <c r="J32" i="16"/>
  <c r="K32" i="16" s="1"/>
  <c r="J31" i="16"/>
  <c r="K31" i="16" s="1"/>
  <c r="J29" i="16"/>
  <c r="K29" i="16" s="1"/>
  <c r="J28" i="16"/>
  <c r="J27" i="16"/>
  <c r="K27" i="16" s="1"/>
  <c r="J24" i="16"/>
  <c r="J25" i="16"/>
  <c r="K25" i="16" s="1"/>
  <c r="J23" i="16"/>
  <c r="K23" i="16" s="1"/>
  <c r="H82" i="16"/>
  <c r="H79" i="16"/>
  <c r="H80" i="16"/>
  <c r="H78" i="16"/>
  <c r="H74" i="16"/>
  <c r="H75" i="16"/>
  <c r="H76" i="16"/>
  <c r="H73" i="16"/>
  <c r="H68" i="16"/>
  <c r="H69" i="16"/>
  <c r="H59" i="16"/>
  <c r="H60" i="16"/>
  <c r="H61" i="16"/>
  <c r="H62" i="16"/>
  <c r="H63" i="16"/>
  <c r="H64" i="16"/>
  <c r="H65" i="16"/>
  <c r="H56" i="16"/>
  <c r="C27" i="18" s="1"/>
  <c r="H58" i="16"/>
  <c r="H52" i="16"/>
  <c r="H53" i="16"/>
  <c r="H54" i="16"/>
  <c r="H55" i="16"/>
  <c r="H51" i="16"/>
  <c r="H49" i="16"/>
  <c r="H48" i="16"/>
  <c r="H47" i="16"/>
  <c r="H45" i="16"/>
  <c r="H44" i="16"/>
  <c r="H42" i="16"/>
  <c r="H38" i="16"/>
  <c r="H40" i="16"/>
  <c r="H37" i="16"/>
  <c r="H32" i="16"/>
  <c r="H33" i="16"/>
  <c r="H34" i="16"/>
  <c r="H35" i="16"/>
  <c r="H31" i="16"/>
  <c r="H27" i="16"/>
  <c r="H28" i="16"/>
  <c r="H29" i="16"/>
  <c r="H25" i="16"/>
  <c r="H23" i="16"/>
  <c r="F21" i="18"/>
  <c r="E21" i="18"/>
  <c r="D21" i="18"/>
  <c r="H69" i="5"/>
  <c r="J69" i="5" s="1" a="1"/>
  <c r="J69" i="5" s="1"/>
  <c r="E69" i="5"/>
  <c r="H68" i="5"/>
  <c r="J68" i="5" s="1" a="1"/>
  <c r="J68" i="5" s="1"/>
  <c r="E68" i="5"/>
  <c r="H67" i="5"/>
  <c r="J67" i="5" s="1" a="1"/>
  <c r="J67" i="5" s="1"/>
  <c r="E67" i="5"/>
  <c r="H66" i="5"/>
  <c r="J66" i="5" s="1" a="1"/>
  <c r="J66" i="5" s="1"/>
  <c r="E66" i="5"/>
  <c r="H65" i="5"/>
  <c r="J65" i="5" s="1" a="1"/>
  <c r="J65" i="5" s="1"/>
  <c r="E65" i="5"/>
  <c r="H64" i="5"/>
  <c r="J64" i="5" s="1" a="1"/>
  <c r="J64" i="5" s="1"/>
  <c r="E64" i="5"/>
  <c r="H63" i="5"/>
  <c r="J63" i="5" s="1" a="1"/>
  <c r="J63" i="5" s="1"/>
  <c r="E63" i="5"/>
  <c r="H62" i="5"/>
  <c r="J62" i="5" s="1" a="1"/>
  <c r="J62" i="5" s="1"/>
  <c r="E62" i="5"/>
  <c r="H61" i="5"/>
  <c r="E61" i="5"/>
  <c r="G49" i="5"/>
  <c r="D12" i="5"/>
  <c r="G10" i="5"/>
  <c r="D7" i="5"/>
  <c r="D9" i="5" s="1"/>
  <c r="G40" i="4"/>
  <c r="F40" i="4"/>
  <c r="E40" i="4"/>
  <c r="I81" i="16"/>
  <c r="D34" i="18" s="1"/>
  <c r="I77" i="16"/>
  <c r="I66" i="16"/>
  <c r="D29" i="18" s="1"/>
  <c r="I57" i="16"/>
  <c r="D28" i="18" s="1"/>
  <c r="I50" i="16"/>
  <c r="D26" i="18" s="1"/>
  <c r="I46" i="16"/>
  <c r="I43" i="16"/>
  <c r="I26" i="16"/>
  <c r="I22" i="16"/>
  <c r="H16" i="16"/>
  <c r="M6" i="12"/>
  <c r="M33" i="12" s="1"/>
  <c r="F7" i="4" a="1"/>
  <c r="E7" i="4" a="1"/>
  <c r="G7" i="4" a="1"/>
  <c r="H7" i="4" a="1"/>
  <c r="C7" i="4" a="1"/>
  <c r="C8" i="6" a="1"/>
  <c r="D7" i="4" a="1"/>
  <c r="X96" i="6" l="1" a="1"/>
  <c r="X96" i="6" s="1"/>
  <c r="V96" i="6"/>
  <c r="B96" i="6" a="1"/>
  <c r="B96" i="6" s="1"/>
  <c r="B77" i="6" a="1"/>
  <c r="B77" i="6" s="1"/>
  <c r="X77" i="6" a="1"/>
  <c r="X77" i="6" s="1"/>
  <c r="V77" i="6"/>
  <c r="X57" i="6" a="1"/>
  <c r="X57" i="6" s="1"/>
  <c r="V57" i="6"/>
  <c r="B57" i="6" a="1"/>
  <c r="B57" i="6" s="1"/>
  <c r="B91" i="6" a="1"/>
  <c r="B91" i="6" s="1"/>
  <c r="X91" i="6" a="1"/>
  <c r="X91" i="6" s="1"/>
  <c r="V91" i="6"/>
  <c r="V101" i="6"/>
  <c r="X101" i="6" a="1"/>
  <c r="X101" i="6" s="1"/>
  <c r="B101" i="6" a="1"/>
  <c r="B101" i="6" s="1"/>
  <c r="V98" i="6"/>
  <c r="X98" i="6" a="1"/>
  <c r="X98" i="6" s="1"/>
  <c r="B98" i="6" a="1"/>
  <c r="B98" i="6" s="1"/>
  <c r="V81" i="6"/>
  <c r="B81" i="6" a="1"/>
  <c r="B81" i="6" s="1"/>
  <c r="X81" i="6" a="1"/>
  <c r="X81" i="6" s="1"/>
  <c r="X64" i="6" a="1"/>
  <c r="X64" i="6" s="1"/>
  <c r="V64" i="6"/>
  <c r="B64" i="6" a="1"/>
  <c r="B64" i="6" s="1"/>
  <c r="B87" i="6" a="1"/>
  <c r="B87" i="6" s="1"/>
  <c r="V87" i="6"/>
  <c r="X87" i="6" a="1"/>
  <c r="X87" i="6" s="1"/>
  <c r="B99" i="6" a="1"/>
  <c r="B99" i="6" s="1"/>
  <c r="V99" i="6"/>
  <c r="X99" i="6" a="1"/>
  <c r="X99" i="6" s="1"/>
  <c r="B95" i="6" a="1"/>
  <c r="B95" i="6" s="1"/>
  <c r="X95" i="6" a="1"/>
  <c r="X95" i="6" s="1"/>
  <c r="V95" i="6"/>
  <c r="V82" i="6"/>
  <c r="X82" i="6" a="1"/>
  <c r="X82" i="6" s="1"/>
  <c r="B82" i="6" a="1"/>
  <c r="B82" i="6" s="1"/>
  <c r="B89" i="6" a="1"/>
  <c r="B89" i="6" s="1"/>
  <c r="X89" i="6" a="1"/>
  <c r="X89" i="6" s="1"/>
  <c r="V89" i="6"/>
  <c r="V70" i="6"/>
  <c r="X70" i="6" a="1"/>
  <c r="X70" i="6" s="1"/>
  <c r="B70" i="6" a="1"/>
  <c r="B70" i="6" s="1"/>
  <c r="V84" i="6"/>
  <c r="X84" i="6" a="1"/>
  <c r="X84" i="6" s="1"/>
  <c r="B84" i="6" a="1"/>
  <c r="B84" i="6" s="1"/>
  <c r="V65" i="6"/>
  <c r="B65" i="6" a="1"/>
  <c r="B65" i="6" s="1"/>
  <c r="X65" i="6" a="1"/>
  <c r="X65" i="6" s="1"/>
  <c r="B66" i="6" a="1"/>
  <c r="B66" i="6" s="1"/>
  <c r="V66" i="6"/>
  <c r="X66" i="6" a="1"/>
  <c r="X66" i="6" s="1"/>
  <c r="V106" i="6"/>
  <c r="B106" i="6" a="1"/>
  <c r="B106" i="6" s="1"/>
  <c r="X106" i="6" a="1"/>
  <c r="X106" i="6" s="1"/>
  <c r="V100" i="6"/>
  <c r="X100" i="6" a="1"/>
  <c r="X100" i="6" s="1"/>
  <c r="B100" i="6" a="1"/>
  <c r="B100" i="6" s="1"/>
  <c r="B78" i="6" a="1"/>
  <c r="B78" i="6" s="1"/>
  <c r="X78" i="6" a="1"/>
  <c r="X78" i="6" s="1"/>
  <c r="V78" i="6"/>
  <c r="V59" i="6"/>
  <c r="B59" i="6" a="1"/>
  <c r="B59" i="6" s="1"/>
  <c r="X59" i="6" a="1"/>
  <c r="X59" i="6" s="1"/>
  <c r="X92" i="6" a="1"/>
  <c r="X92" i="6" s="1"/>
  <c r="B92" i="6" a="1"/>
  <c r="B92" i="6" s="1"/>
  <c r="V92" i="6"/>
  <c r="B72" i="6" a="1"/>
  <c r="B72" i="6" s="1"/>
  <c r="X72" i="6" a="1"/>
  <c r="X72" i="6" s="1"/>
  <c r="V72" i="6"/>
  <c r="V107" i="6"/>
  <c r="B107" i="6" a="1"/>
  <c r="B107" i="6" s="1"/>
  <c r="X107" i="6" a="1"/>
  <c r="X107" i="6" s="1"/>
  <c r="X80" i="6" a="1"/>
  <c r="X80" i="6" s="1"/>
  <c r="B80" i="6" a="1"/>
  <c r="B80" i="6" s="1"/>
  <c r="V80" i="6"/>
  <c r="B60" i="6" a="1"/>
  <c r="B60" i="6" s="1"/>
  <c r="X60" i="6" a="1"/>
  <c r="X60" i="6" s="1"/>
  <c r="V60" i="6"/>
  <c r="V105" i="6"/>
  <c r="X105" i="6" a="1"/>
  <c r="X105" i="6" s="1"/>
  <c r="B105" i="6" a="1"/>
  <c r="B105" i="6" s="1"/>
  <c r="B67" i="6" a="1"/>
  <c r="B67" i="6" s="1"/>
  <c r="X67" i="6" a="1"/>
  <c r="X67" i="6" s="1"/>
  <c r="V67" i="6"/>
  <c r="V104" i="6"/>
  <c r="B104" i="6" a="1"/>
  <c r="B104" i="6" s="1"/>
  <c r="X104" i="6" a="1"/>
  <c r="X104" i="6" s="1"/>
  <c r="V71" i="6"/>
  <c r="X71" i="6" a="1"/>
  <c r="X71" i="6" s="1"/>
  <c r="B71" i="6" a="1"/>
  <c r="B71" i="6" s="1"/>
  <c r="X73" i="6" a="1"/>
  <c r="X73" i="6" s="1"/>
  <c r="B73" i="6" a="1"/>
  <c r="B73" i="6" s="1"/>
  <c r="V73" i="6"/>
  <c r="V74" i="6"/>
  <c r="X74" i="6" a="1"/>
  <c r="X74" i="6" s="1"/>
  <c r="B74" i="6" a="1"/>
  <c r="B74" i="6" s="1"/>
  <c r="X61" i="6" a="1"/>
  <c r="X61" i="6" s="1"/>
  <c r="B61" i="6" a="1"/>
  <c r="B61" i="6" s="1"/>
  <c r="V61" i="6"/>
  <c r="X97" i="6" a="1"/>
  <c r="X97" i="6" s="1"/>
  <c r="B97" i="6" a="1"/>
  <c r="B97" i="6" s="1"/>
  <c r="V97" i="6"/>
  <c r="X94" i="6" a="1"/>
  <c r="X94" i="6" s="1"/>
  <c r="B94" i="6" a="1"/>
  <c r="B94" i="6" s="1"/>
  <c r="V94" i="6"/>
  <c r="X63" i="6" a="1"/>
  <c r="X63" i="6" s="1"/>
  <c r="V63" i="6"/>
  <c r="B63" i="6" a="1"/>
  <c r="B63" i="6" s="1"/>
  <c r="X85" i="6" a="1"/>
  <c r="X85" i="6" s="1"/>
  <c r="V85" i="6"/>
  <c r="B85" i="6" a="1"/>
  <c r="B85" i="6" s="1"/>
  <c r="X62" i="6" a="1"/>
  <c r="X62" i="6" s="1"/>
  <c r="B62" i="6" a="1"/>
  <c r="B62" i="6" s="1"/>
  <c r="V62" i="6"/>
  <c r="X88" i="6" a="1"/>
  <c r="X88" i="6" s="1"/>
  <c r="V88" i="6"/>
  <c r="B88" i="6" a="1"/>
  <c r="B88" i="6" s="1"/>
  <c r="X76" i="6" a="1"/>
  <c r="X76" i="6" s="1"/>
  <c r="V76" i="6"/>
  <c r="B76" i="6" a="1"/>
  <c r="B76" i="6" s="1"/>
  <c r="X86" i="6" a="1"/>
  <c r="X86" i="6" s="1"/>
  <c r="B86" i="6" a="1"/>
  <c r="B86" i="6" s="1"/>
  <c r="V86" i="6"/>
  <c r="B83" i="6" a="1"/>
  <c r="B83" i="6" s="1"/>
  <c r="V83" i="6"/>
  <c r="X83" i="6" a="1"/>
  <c r="X83" i="6" s="1"/>
  <c r="X93" i="6" a="1"/>
  <c r="X93" i="6" s="1"/>
  <c r="V93" i="6"/>
  <c r="B93" i="6" a="1"/>
  <c r="B93" i="6" s="1"/>
  <c r="X103" i="6" a="1"/>
  <c r="X103" i="6" s="1"/>
  <c r="B103" i="6" a="1"/>
  <c r="B103" i="6" s="1"/>
  <c r="V103" i="6"/>
  <c r="X102" i="6" a="1"/>
  <c r="X102" i="6" s="1"/>
  <c r="V102" i="6"/>
  <c r="B102" i="6" a="1"/>
  <c r="B102" i="6" s="1"/>
  <c r="X90" i="6" a="1"/>
  <c r="X90" i="6" s="1"/>
  <c r="B90" i="6" a="1"/>
  <c r="B90" i="6" s="1"/>
  <c r="V90" i="6"/>
  <c r="X69" i="6" a="1"/>
  <c r="X69" i="6" s="1"/>
  <c r="V69" i="6"/>
  <c r="B69" i="6" a="1"/>
  <c r="B69" i="6" s="1"/>
  <c r="V68" i="6"/>
  <c r="B68" i="6" a="1"/>
  <c r="B68" i="6" s="1"/>
  <c r="X68" i="6" a="1"/>
  <c r="X68" i="6" s="1"/>
  <c r="X75" i="6" a="1"/>
  <c r="X75" i="6" s="1"/>
  <c r="B75" i="6" a="1"/>
  <c r="B75" i="6" s="1"/>
  <c r="V75" i="6"/>
  <c r="B79" i="6" a="1"/>
  <c r="B79" i="6" s="1"/>
  <c r="X79" i="6" a="1"/>
  <c r="X79" i="6" s="1"/>
  <c r="V79" i="6"/>
  <c r="X58" i="6" a="1"/>
  <c r="X58" i="6" s="1"/>
  <c r="V58" i="6"/>
  <c r="B58" i="6" a="1"/>
  <c r="B58" i="6" s="1"/>
  <c r="B56" i="6" a="1"/>
  <c r="B56" i="6" s="1"/>
  <c r="X56" i="6" a="1"/>
  <c r="X56" i="6" s="1"/>
  <c r="V56" i="6"/>
  <c r="T19" i="6"/>
  <c r="T22" i="6"/>
  <c r="T21" i="6"/>
  <c r="T25" i="6"/>
  <c r="T28" i="6"/>
  <c r="T29" i="6"/>
  <c r="T27" i="6"/>
  <c r="T24" i="6"/>
  <c r="T23" i="6"/>
  <c r="T30" i="6"/>
  <c r="T26" i="6"/>
  <c r="T20" i="6"/>
  <c r="C75" i="4"/>
  <c r="K67" i="4"/>
  <c r="K68" i="4"/>
  <c r="K69" i="4"/>
  <c r="Q67" i="4"/>
  <c r="Q68" i="4"/>
  <c r="Q69" i="4"/>
  <c r="R68" i="4"/>
  <c r="R67" i="4"/>
  <c r="R69" i="4"/>
  <c r="N67" i="4"/>
  <c r="N69" i="4"/>
  <c r="N68" i="4"/>
  <c r="J65" i="4"/>
  <c r="J66" i="4" s="1"/>
  <c r="J67" i="4"/>
  <c r="J68" i="4"/>
  <c r="J69" i="4"/>
  <c r="P65" i="4"/>
  <c r="P66" i="4" s="1"/>
  <c r="P69" i="4"/>
  <c r="P68" i="4"/>
  <c r="P67" i="4"/>
  <c r="L67" i="4"/>
  <c r="L69" i="4"/>
  <c r="L68" i="4"/>
  <c r="M65" i="4"/>
  <c r="M66" i="4" s="1"/>
  <c r="M68" i="4"/>
  <c r="M69" i="4"/>
  <c r="M67" i="4"/>
  <c r="O69" i="4"/>
  <c r="O68" i="4"/>
  <c r="O67" i="4"/>
  <c r="I68" i="4"/>
  <c r="I69" i="4"/>
  <c r="I67" i="4"/>
  <c r="N65" i="4"/>
  <c r="N66" i="4" s="1"/>
  <c r="L65" i="4"/>
  <c r="L66" i="4" s="1"/>
  <c r="Q65" i="4"/>
  <c r="Q66" i="4" s="1"/>
  <c r="R65" i="4"/>
  <c r="R66" i="4" s="1"/>
  <c r="O65" i="4"/>
  <c r="O66" i="4" s="1"/>
  <c r="I65" i="4"/>
  <c r="I66" i="4" s="1"/>
  <c r="K65" i="4"/>
  <c r="K66" i="4" s="1"/>
  <c r="J72" i="16"/>
  <c r="E32" i="18" s="1"/>
  <c r="J43" i="16"/>
  <c r="F7" i="4"/>
  <c r="F95" i="4" s="1"/>
  <c r="F15" i="6"/>
  <c r="H7" i="4"/>
  <c r="H95" i="4" s="1"/>
  <c r="D7" i="4"/>
  <c r="D95" i="4" s="1"/>
  <c r="D15" i="6"/>
  <c r="H15" i="6"/>
  <c r="C7" i="4"/>
  <c r="G7" i="4"/>
  <c r="G95" i="4" s="1"/>
  <c r="E7" i="4"/>
  <c r="E95" i="4" s="1"/>
  <c r="E15" i="6"/>
  <c r="G15" i="6"/>
  <c r="C8" i="6"/>
  <c r="M26" i="12"/>
  <c r="E73" i="5"/>
  <c r="H72" i="16"/>
  <c r="C32" i="18" s="1"/>
  <c r="K49" i="5"/>
  <c r="H77" i="16"/>
  <c r="C33" i="18" s="1"/>
  <c r="K73" i="16"/>
  <c r="K72" i="16" s="1"/>
  <c r="F32" i="18" s="1"/>
  <c r="M31" i="12"/>
  <c r="M28" i="12"/>
  <c r="M14" i="12"/>
  <c r="M30" i="12"/>
  <c r="K43" i="16"/>
  <c r="K56" i="16"/>
  <c r="F27" i="18" s="1"/>
  <c r="E27" i="18"/>
  <c r="H66" i="16"/>
  <c r="C29" i="18" s="1"/>
  <c r="J22" i="16"/>
  <c r="K46" i="16"/>
  <c r="H81" i="16"/>
  <c r="C34" i="18" s="1"/>
  <c r="H43" i="16"/>
  <c r="H50" i="16"/>
  <c r="C26" i="18" s="1"/>
  <c r="I16" i="16"/>
  <c r="E16" i="16" s="1"/>
  <c r="H46" i="16"/>
  <c r="J57" i="16"/>
  <c r="E28" i="18" s="1"/>
  <c r="K66" i="16"/>
  <c r="F29" i="18" s="1"/>
  <c r="D40" i="4"/>
  <c r="H73" i="5"/>
  <c r="D13" i="5"/>
  <c r="J46" i="16"/>
  <c r="J66" i="16"/>
  <c r="E29" i="18" s="1"/>
  <c r="K24" i="16"/>
  <c r="K22" i="16" s="1"/>
  <c r="J77" i="16"/>
  <c r="E33" i="18" s="1"/>
  <c r="K50" i="16"/>
  <c r="F26" i="18" s="1"/>
  <c r="H57" i="16"/>
  <c r="C28" i="18" s="1"/>
  <c r="J26" i="16"/>
  <c r="K28" i="16"/>
  <c r="K26" i="16" s="1"/>
  <c r="K60" i="16"/>
  <c r="K57" i="16" s="1"/>
  <c r="F28" i="18" s="1"/>
  <c r="K77" i="16"/>
  <c r="F33" i="18" s="1"/>
  <c r="I41" i="16"/>
  <c r="D25" i="18" s="1"/>
  <c r="J81" i="16"/>
  <c r="E34" i="18" s="1"/>
  <c r="K83" i="16"/>
  <c r="K81" i="16" s="1"/>
  <c r="F34" i="18" s="1"/>
  <c r="H22" i="16"/>
  <c r="K37" i="16"/>
  <c r="J50" i="16"/>
  <c r="E26" i="18" s="1"/>
  <c r="H26" i="16"/>
  <c r="I21" i="16"/>
  <c r="J61" i="5" a="1"/>
  <c r="J61" i="5" s="1"/>
  <c r="M16" i="12"/>
  <c r="M32" i="12"/>
  <c r="M17" i="12"/>
  <c r="M29" i="12"/>
  <c r="M11" i="12"/>
  <c r="M9" i="12"/>
  <c r="N6" i="12"/>
  <c r="N26" i="12" s="1"/>
  <c r="M15" i="12"/>
  <c r="L6" i="12"/>
  <c r="M20" i="12"/>
  <c r="M21" i="12"/>
  <c r="M36" i="12"/>
  <c r="M37" i="12"/>
  <c r="M18" i="12"/>
  <c r="M19" i="12"/>
  <c r="M34" i="12"/>
  <c r="M35" i="12"/>
  <c r="E42" i="12"/>
  <c r="M10" i="12"/>
  <c r="M13" i="12"/>
  <c r="M27" i="12"/>
  <c r="M7" i="12"/>
  <c r="M8" i="12"/>
  <c r="M12" i="12"/>
  <c r="M24" i="12"/>
  <c r="M25" i="12"/>
  <c r="M40" i="12"/>
  <c r="M41" i="12"/>
  <c r="M22" i="12"/>
  <c r="M23" i="12"/>
  <c r="M38" i="12"/>
  <c r="M39" i="12"/>
  <c r="C8" i="4" a="1"/>
  <c r="H8" i="4" a="1"/>
  <c r="D8" i="4" a="1"/>
  <c r="F8" i="4" a="1"/>
  <c r="E8" i="4" a="1"/>
  <c r="G8" i="4" a="1"/>
  <c r="M96" i="6" l="1" a="1"/>
  <c r="M96" i="6" s="1"/>
  <c r="F96" i="6" a="1"/>
  <c r="F96" i="6" s="1"/>
  <c r="R77" i="6" a="1"/>
  <c r="R77" i="6" s="1"/>
  <c r="F77" i="6" a="1"/>
  <c r="F77" i="6" s="1"/>
  <c r="C57" i="6" a="1"/>
  <c r="C57" i="6" s="1"/>
  <c r="H57" i="6" a="1"/>
  <c r="H57" i="6" s="1"/>
  <c r="R91" i="6" a="1"/>
  <c r="R91" i="6" s="1"/>
  <c r="L91" i="6" a="1"/>
  <c r="L91" i="6" s="1"/>
  <c r="M101" i="6" a="1"/>
  <c r="M101" i="6" s="1"/>
  <c r="C101" i="6" a="1"/>
  <c r="C101" i="6" s="1"/>
  <c r="K98" i="6" a="1"/>
  <c r="K98" i="6" s="1"/>
  <c r="L98" i="6" a="1"/>
  <c r="L98" i="6" s="1"/>
  <c r="M81" i="6" a="1"/>
  <c r="M81" i="6" s="1"/>
  <c r="I81" i="6" a="1"/>
  <c r="I81" i="6" s="1"/>
  <c r="R64" i="6" a="1"/>
  <c r="R64" i="6" s="1"/>
  <c r="G64" i="6" a="1"/>
  <c r="G64" i="6" s="1"/>
  <c r="P87" i="6" a="1"/>
  <c r="P87" i="6" s="1"/>
  <c r="K87" i="6" a="1"/>
  <c r="K87" i="6" s="1"/>
  <c r="M99" i="6" a="1"/>
  <c r="M99" i="6" s="1"/>
  <c r="F99" i="6" a="1"/>
  <c r="F99" i="6" s="1"/>
  <c r="G95" i="6" a="1"/>
  <c r="G95" i="6" s="1"/>
  <c r="D95" i="6" a="1"/>
  <c r="D95" i="6" s="1"/>
  <c r="N82" i="6" a="1"/>
  <c r="N82" i="6" s="1"/>
  <c r="J82" i="6" a="1"/>
  <c r="J82" i="6" s="1"/>
  <c r="Q89" i="6" a="1"/>
  <c r="Q89" i="6" s="1"/>
  <c r="L89" i="6" a="1"/>
  <c r="L89" i="6" s="1"/>
  <c r="G70" i="6" a="1"/>
  <c r="G70" i="6" s="1"/>
  <c r="L70" i="6" a="1"/>
  <c r="L70" i="6" s="1"/>
  <c r="Q84" i="6" a="1"/>
  <c r="Q84" i="6" s="1"/>
  <c r="K84" i="6" a="1"/>
  <c r="K84" i="6" s="1"/>
  <c r="M65" i="6" a="1"/>
  <c r="M65" i="6" s="1"/>
  <c r="D65" i="6" a="1"/>
  <c r="D65" i="6" s="1"/>
  <c r="M66" i="6" a="1"/>
  <c r="M66" i="6" s="1"/>
  <c r="K66" i="6" a="1"/>
  <c r="K66" i="6" s="1"/>
  <c r="Q106" i="6" a="1"/>
  <c r="Q106" i="6" s="1"/>
  <c r="L106" i="6" a="1"/>
  <c r="L106" i="6" s="1"/>
  <c r="H100" i="6" a="1"/>
  <c r="H100" i="6" s="1"/>
  <c r="I100" i="6" a="1"/>
  <c r="I100" i="6" s="1"/>
  <c r="M78" i="6" a="1"/>
  <c r="M78" i="6" s="1"/>
  <c r="H78" i="6" a="1"/>
  <c r="H78" i="6" s="1"/>
  <c r="M59" i="6" a="1"/>
  <c r="M59" i="6" s="1"/>
  <c r="D59" i="6" a="1"/>
  <c r="D59" i="6" s="1"/>
  <c r="H92" i="6" a="1"/>
  <c r="H92" i="6" s="1"/>
  <c r="K92" i="6" a="1"/>
  <c r="K92" i="6" s="1"/>
  <c r="Q72" i="6" a="1"/>
  <c r="Q72" i="6" s="1"/>
  <c r="G72" i="6" a="1"/>
  <c r="G72" i="6" s="1"/>
  <c r="Q107" i="6" a="1"/>
  <c r="Q107" i="6" s="1"/>
  <c r="F107" i="6" a="1"/>
  <c r="F107" i="6" s="1"/>
  <c r="R80" i="6" a="1"/>
  <c r="R80" i="6" s="1"/>
  <c r="L80" i="6" a="1"/>
  <c r="L80" i="6" s="1"/>
  <c r="R60" i="6" a="1"/>
  <c r="R60" i="6" s="1"/>
  <c r="I60" i="6" a="1"/>
  <c r="I60" i="6" s="1"/>
  <c r="E105" i="6" a="1"/>
  <c r="E105" i="6" s="1"/>
  <c r="H105" i="6" a="1"/>
  <c r="H105" i="6" s="1"/>
  <c r="M67" i="6" a="1"/>
  <c r="M67" i="6" s="1"/>
  <c r="F67" i="6" a="1"/>
  <c r="F67" i="6" s="1"/>
  <c r="N104" i="6" a="1"/>
  <c r="N104" i="6" s="1"/>
  <c r="G104" i="6" a="1"/>
  <c r="G104" i="6" s="1"/>
  <c r="K71" i="6" a="1"/>
  <c r="K71" i="6" s="1"/>
  <c r="E71" i="6" a="1"/>
  <c r="E71" i="6" s="1"/>
  <c r="M73" i="6" a="1"/>
  <c r="M73" i="6" s="1"/>
  <c r="K73" i="6" a="1"/>
  <c r="K73" i="6" s="1"/>
  <c r="O74" i="6" a="1"/>
  <c r="O74" i="6" s="1"/>
  <c r="D74" i="6" a="1"/>
  <c r="D74" i="6" s="1"/>
  <c r="Q61" i="6" a="1"/>
  <c r="Q61" i="6" s="1"/>
  <c r="F61" i="6" a="1"/>
  <c r="F61" i="6" s="1"/>
  <c r="Q97" i="6" a="1"/>
  <c r="Q97" i="6" s="1"/>
  <c r="J97" i="6" a="1"/>
  <c r="J97" i="6" s="1"/>
  <c r="K94" i="6" a="1"/>
  <c r="K94" i="6" s="1"/>
  <c r="J94" i="6" a="1"/>
  <c r="J94" i="6" s="1"/>
  <c r="N63" i="6" a="1"/>
  <c r="N63" i="6" s="1"/>
  <c r="C63" i="6" a="1"/>
  <c r="C63" i="6" s="1"/>
  <c r="O85" i="6" a="1"/>
  <c r="O85" i="6" s="1"/>
  <c r="G85" i="6" a="1"/>
  <c r="G85" i="6" s="1"/>
  <c r="G62" i="6" a="1"/>
  <c r="G62" i="6" s="1"/>
  <c r="L62" i="6" a="1"/>
  <c r="L62" i="6" s="1"/>
  <c r="M88" i="6" a="1"/>
  <c r="M88" i="6" s="1"/>
  <c r="G88" i="6" a="1"/>
  <c r="G88" i="6" s="1"/>
  <c r="N76" i="6" a="1"/>
  <c r="N76" i="6" s="1"/>
  <c r="L76" i="6" a="1"/>
  <c r="L76" i="6" s="1"/>
  <c r="N86" i="6" a="1"/>
  <c r="N86" i="6" s="1"/>
  <c r="E86" i="6" a="1"/>
  <c r="E86" i="6" s="1"/>
  <c r="P83" i="6" a="1"/>
  <c r="P83" i="6" s="1"/>
  <c r="K83" i="6" a="1"/>
  <c r="K83" i="6" s="1"/>
  <c r="E93" i="6" a="1"/>
  <c r="E93" i="6" s="1"/>
  <c r="J96" i="6" a="1"/>
  <c r="J96" i="6" s="1"/>
  <c r="C96" i="6" a="1"/>
  <c r="C96" i="6" s="1"/>
  <c r="O77" i="6" a="1"/>
  <c r="O77" i="6" s="1"/>
  <c r="C77" i="6" a="1"/>
  <c r="C77" i="6" s="1"/>
  <c r="N57" i="6" a="1"/>
  <c r="N57" i="6" s="1"/>
  <c r="F57" i="6" a="1"/>
  <c r="F57" i="6" s="1"/>
  <c r="M91" i="6" a="1"/>
  <c r="M91" i="6" s="1"/>
  <c r="E91" i="6" a="1"/>
  <c r="E91" i="6" s="1"/>
  <c r="Q101" i="6" a="1"/>
  <c r="Q101" i="6" s="1"/>
  <c r="G101" i="6" a="1"/>
  <c r="G101" i="6" s="1"/>
  <c r="I98" i="6" a="1"/>
  <c r="I98" i="6" s="1"/>
  <c r="E98" i="6" a="1"/>
  <c r="E98" i="6" s="1"/>
  <c r="N81" i="6" a="1"/>
  <c r="N81" i="6" s="1"/>
  <c r="J81" i="6" a="1"/>
  <c r="J81" i="6" s="1"/>
  <c r="O64" i="6" a="1"/>
  <c r="O64" i="6" s="1"/>
  <c r="J64" i="6" a="1"/>
  <c r="J64" i="6" s="1"/>
  <c r="D87" i="6" a="1"/>
  <c r="D87" i="6" s="1"/>
  <c r="H87" i="6" a="1"/>
  <c r="H87" i="6" s="1"/>
  <c r="Q99" i="6" a="1"/>
  <c r="Q99" i="6" s="1"/>
  <c r="H99" i="6" a="1"/>
  <c r="H99" i="6" s="1"/>
  <c r="M95" i="6" a="1"/>
  <c r="M95" i="6" s="1"/>
  <c r="J95" i="6" a="1"/>
  <c r="J95" i="6" s="1"/>
  <c r="M82" i="6" a="1"/>
  <c r="M82" i="6" s="1"/>
  <c r="H82" i="6" a="1"/>
  <c r="H82" i="6" s="1"/>
  <c r="N89" i="6" a="1"/>
  <c r="N89" i="6" s="1"/>
  <c r="C89" i="6" a="1"/>
  <c r="C89" i="6" s="1"/>
  <c r="E70" i="6" a="1"/>
  <c r="E70" i="6" s="1"/>
  <c r="F70" i="6" a="1"/>
  <c r="F70" i="6" s="1"/>
  <c r="R84" i="6" a="1"/>
  <c r="R84" i="6" s="1"/>
  <c r="J84" i="6" a="1"/>
  <c r="J84" i="6" s="1"/>
  <c r="P65" i="6" a="1"/>
  <c r="P65" i="6" s="1"/>
  <c r="G65" i="6" a="1"/>
  <c r="G65" i="6" s="1"/>
  <c r="I66" i="6" a="1"/>
  <c r="I66" i="6" s="1"/>
  <c r="E66" i="6" a="1"/>
  <c r="E66" i="6" s="1"/>
  <c r="N106" i="6" a="1"/>
  <c r="N106" i="6" s="1"/>
  <c r="G106" i="6" a="1"/>
  <c r="G106" i="6" s="1"/>
  <c r="N100" i="6" a="1"/>
  <c r="N100" i="6" s="1"/>
  <c r="D100" i="6" a="1"/>
  <c r="D100" i="6" s="1"/>
  <c r="N78" i="6" a="1"/>
  <c r="N78" i="6" s="1"/>
  <c r="F78" i="6" a="1"/>
  <c r="F78" i="6" s="1"/>
  <c r="O59" i="6" a="1"/>
  <c r="O59" i="6" s="1"/>
  <c r="J59" i="6" a="1"/>
  <c r="J59" i="6" s="1"/>
  <c r="L92" i="6" a="1"/>
  <c r="L92" i="6" s="1"/>
  <c r="I92" i="6" a="1"/>
  <c r="I92" i="6" s="1"/>
  <c r="O72" i="6" a="1"/>
  <c r="O72" i="6" s="1"/>
  <c r="E72" i="6" a="1"/>
  <c r="E72" i="6" s="1"/>
  <c r="R107" i="6" a="1"/>
  <c r="R107" i="6" s="1"/>
  <c r="K107" i="6" a="1"/>
  <c r="K107" i="6" s="1"/>
  <c r="C80" i="6" a="1"/>
  <c r="C80" i="6" s="1"/>
  <c r="E80" i="6" a="1"/>
  <c r="E80" i="6" s="1"/>
  <c r="P60" i="6" a="1"/>
  <c r="P60" i="6" s="1"/>
  <c r="L60" i="6" a="1"/>
  <c r="L60" i="6" s="1"/>
  <c r="Q105" i="6" a="1"/>
  <c r="Q105" i="6" s="1"/>
  <c r="D105" i="6" a="1"/>
  <c r="D105" i="6" s="1"/>
  <c r="Q67" i="6" a="1"/>
  <c r="Q67" i="6" s="1"/>
  <c r="I67" i="6" a="1"/>
  <c r="I67" i="6" s="1"/>
  <c r="R104" i="6" a="1"/>
  <c r="R104" i="6" s="1"/>
  <c r="E104" i="6" a="1"/>
  <c r="E104" i="6" s="1"/>
  <c r="I71" i="6" a="1"/>
  <c r="I71" i="6" s="1"/>
  <c r="G71" i="6" a="1"/>
  <c r="G71" i="6" s="1"/>
  <c r="O73" i="6" a="1"/>
  <c r="O73" i="6" s="1"/>
  <c r="L73" i="6" a="1"/>
  <c r="L73" i="6" s="1"/>
  <c r="M74" i="6" a="1"/>
  <c r="M74" i="6" s="1"/>
  <c r="F74" i="6" a="1"/>
  <c r="F74" i="6" s="1"/>
  <c r="C61" i="6" a="1"/>
  <c r="C61" i="6" s="1"/>
  <c r="K61" i="6" a="1"/>
  <c r="K61" i="6" s="1"/>
  <c r="R97" i="6" a="1"/>
  <c r="R97" i="6" s="1"/>
  <c r="E97" i="6" a="1"/>
  <c r="E97" i="6" s="1"/>
  <c r="M94" i="6" a="1"/>
  <c r="M94" i="6" s="1"/>
  <c r="L94" i="6" a="1"/>
  <c r="L94" i="6" s="1"/>
  <c r="O63" i="6" a="1"/>
  <c r="O63" i="6" s="1"/>
  <c r="K63" i="6" a="1"/>
  <c r="K63" i="6" s="1"/>
  <c r="N85" i="6" a="1"/>
  <c r="N85" i="6" s="1"/>
  <c r="I85" i="6" a="1"/>
  <c r="I85" i="6" s="1"/>
  <c r="D62" i="6" a="1"/>
  <c r="D62" i="6" s="1"/>
  <c r="I62" i="6" a="1"/>
  <c r="I62" i="6" s="1"/>
  <c r="P88" i="6" a="1"/>
  <c r="P88" i="6" s="1"/>
  <c r="E88" i="6" a="1"/>
  <c r="E88" i="6" s="1"/>
  <c r="Q76" i="6" a="1"/>
  <c r="Q76" i="6" s="1"/>
  <c r="J76" i="6" a="1"/>
  <c r="J76" i="6" s="1"/>
  <c r="D86" i="6" a="1"/>
  <c r="D86" i="6" s="1"/>
  <c r="H86" i="6" a="1"/>
  <c r="H86" i="6" s="1"/>
  <c r="Q83" i="6" a="1"/>
  <c r="Q83" i="6" s="1"/>
  <c r="H83" i="6" a="1"/>
  <c r="H83" i="6" s="1"/>
  <c r="O93" i="6" a="1"/>
  <c r="O93" i="6" s="1"/>
  <c r="K96" i="6" a="1"/>
  <c r="K96" i="6" s="1"/>
  <c r="D96" i="6" a="1"/>
  <c r="D96" i="6" s="1"/>
  <c r="P77" i="6" a="1"/>
  <c r="P77" i="6" s="1"/>
  <c r="H77" i="6" a="1"/>
  <c r="H77" i="6" s="1"/>
  <c r="O57" i="6" a="1"/>
  <c r="O57" i="6" s="1"/>
  <c r="G57" i="6" a="1"/>
  <c r="G57" i="6" s="1"/>
  <c r="H91" i="6" a="1"/>
  <c r="H91" i="6" s="1"/>
  <c r="F91" i="6" a="1"/>
  <c r="F91" i="6" s="1"/>
  <c r="N101" i="6" a="1"/>
  <c r="N101" i="6" s="1"/>
  <c r="J101" i="6" a="1"/>
  <c r="J101" i="6" s="1"/>
  <c r="P98" i="6" a="1"/>
  <c r="P98" i="6" s="1"/>
  <c r="C98" i="6" a="1"/>
  <c r="C98" i="6" s="1"/>
  <c r="R81" i="6" a="1"/>
  <c r="R81" i="6" s="1"/>
  <c r="C81" i="6" a="1"/>
  <c r="C81" i="6" s="1"/>
  <c r="N64" i="6" a="1"/>
  <c r="N64" i="6" s="1"/>
  <c r="L64" i="6" a="1"/>
  <c r="L64" i="6" s="1"/>
  <c r="L87" i="6" a="1"/>
  <c r="L87" i="6" s="1"/>
  <c r="J87" i="6" a="1"/>
  <c r="J87" i="6" s="1"/>
  <c r="O99" i="6" a="1"/>
  <c r="O99" i="6" s="1"/>
  <c r="J99" i="6" a="1"/>
  <c r="J99" i="6" s="1"/>
  <c r="O95" i="6" a="1"/>
  <c r="O95" i="6" s="1"/>
  <c r="H95" i="6" a="1"/>
  <c r="H95" i="6" s="1"/>
  <c r="C82" i="6" a="1"/>
  <c r="C82" i="6" s="1"/>
  <c r="I82" i="6" a="1"/>
  <c r="I82" i="6" s="1"/>
  <c r="O89" i="6" a="1"/>
  <c r="O89" i="6" s="1"/>
  <c r="I89" i="6" a="1"/>
  <c r="I89" i="6" s="1"/>
  <c r="O70" i="6" a="1"/>
  <c r="O70" i="6" s="1"/>
  <c r="H70" i="6" a="1"/>
  <c r="H70" i="6" s="1"/>
  <c r="N84" i="6" a="1"/>
  <c r="N84" i="6" s="1"/>
  <c r="G84" i="6" a="1"/>
  <c r="G84" i="6" s="1"/>
  <c r="O65" i="6" a="1"/>
  <c r="O65" i="6" s="1"/>
  <c r="I65" i="6" a="1"/>
  <c r="I65" i="6" s="1"/>
  <c r="F66" i="6" a="1"/>
  <c r="F66" i="6" s="1"/>
  <c r="J66" i="6" a="1"/>
  <c r="J66" i="6" s="1"/>
  <c r="P106" i="6" a="1"/>
  <c r="P106" i="6" s="1"/>
  <c r="D106" i="6" a="1"/>
  <c r="D106" i="6" s="1"/>
  <c r="O100" i="6" a="1"/>
  <c r="O100" i="6" s="1"/>
  <c r="E100" i="6" a="1"/>
  <c r="E100" i="6" s="1"/>
  <c r="J78" i="6" a="1"/>
  <c r="J78" i="6" s="1"/>
  <c r="G78" i="6" a="1"/>
  <c r="G78" i="6" s="1"/>
  <c r="P59" i="6" a="1"/>
  <c r="P59" i="6" s="1"/>
  <c r="K59" i="6" a="1"/>
  <c r="K59" i="6" s="1"/>
  <c r="P92" i="6" a="1"/>
  <c r="P92" i="6" s="1"/>
  <c r="J92" i="6" a="1"/>
  <c r="J92" i="6" s="1"/>
  <c r="R72" i="6" a="1"/>
  <c r="R72" i="6" s="1"/>
  <c r="I72" i="6" a="1"/>
  <c r="I72" i="6" s="1"/>
  <c r="O107" i="6" a="1"/>
  <c r="O107" i="6" s="1"/>
  <c r="I107" i="6" a="1"/>
  <c r="I107" i="6" s="1"/>
  <c r="G80" i="6" a="1"/>
  <c r="G80" i="6" s="1"/>
  <c r="F80" i="6" a="1"/>
  <c r="F80" i="6" s="1"/>
  <c r="Q60" i="6" a="1"/>
  <c r="Q60" i="6" s="1"/>
  <c r="C60" i="6" a="1"/>
  <c r="C60" i="6" s="1"/>
  <c r="P105" i="6" a="1"/>
  <c r="P105" i="6" s="1"/>
  <c r="J105" i="6" a="1"/>
  <c r="J105" i="6" s="1"/>
  <c r="C67" i="6" a="1"/>
  <c r="C67" i="6" s="1"/>
  <c r="D67" i="6" a="1"/>
  <c r="D67" i="6" s="1"/>
  <c r="P104" i="6" a="1"/>
  <c r="P104" i="6" s="1"/>
  <c r="J104" i="6" a="1"/>
  <c r="J104" i="6" s="1"/>
  <c r="P71" i="6" a="1"/>
  <c r="P71" i="6" s="1"/>
  <c r="C71" i="6" a="1"/>
  <c r="C71" i="6" s="1"/>
  <c r="Q73" i="6" a="1"/>
  <c r="Q73" i="6" s="1"/>
  <c r="I73" i="6" a="1"/>
  <c r="I73" i="6" s="1"/>
  <c r="N74" i="6" a="1"/>
  <c r="N74" i="6" s="1"/>
  <c r="K74" i="6" a="1"/>
  <c r="K74" i="6" s="1"/>
  <c r="I61" i="6" a="1"/>
  <c r="I61" i="6" s="1"/>
  <c r="E61" i="6" a="1"/>
  <c r="E61" i="6" s="1"/>
  <c r="N97" i="6" a="1"/>
  <c r="N97" i="6" s="1"/>
  <c r="G97" i="6" a="1"/>
  <c r="G97" i="6" s="1"/>
  <c r="P94" i="6" a="1"/>
  <c r="P94" i="6" s="1"/>
  <c r="I94" i="6" a="1"/>
  <c r="I94" i="6" s="1"/>
  <c r="E63" i="6" a="1"/>
  <c r="E63" i="6" s="1"/>
  <c r="I63" i="6" a="1"/>
  <c r="I63" i="6" s="1"/>
  <c r="R85" i="6" a="1"/>
  <c r="R85" i="6" s="1"/>
  <c r="K85" i="6" a="1"/>
  <c r="K85" i="6" s="1"/>
  <c r="P96" i="6" a="1"/>
  <c r="P96" i="6" s="1"/>
  <c r="H96" i="6" a="1"/>
  <c r="H96" i="6" s="1"/>
  <c r="N77" i="6" a="1"/>
  <c r="N77" i="6" s="1"/>
  <c r="L77" i="6" a="1"/>
  <c r="L77" i="6" s="1"/>
  <c r="Q57" i="6" a="1"/>
  <c r="Q57" i="6" s="1"/>
  <c r="I57" i="6" a="1"/>
  <c r="I57" i="6" s="1"/>
  <c r="I91" i="6" a="1"/>
  <c r="I91" i="6" s="1"/>
  <c r="G91" i="6" a="1"/>
  <c r="G91" i="6" s="1"/>
  <c r="O101" i="6" a="1"/>
  <c r="O101" i="6" s="1"/>
  <c r="K101" i="6" a="1"/>
  <c r="K101" i="6" s="1"/>
  <c r="Q98" i="6" a="1"/>
  <c r="Q98" i="6" s="1"/>
  <c r="G98" i="6" a="1"/>
  <c r="G98" i="6" s="1"/>
  <c r="D81" i="6" a="1"/>
  <c r="D81" i="6" s="1"/>
  <c r="E81" i="6" a="1"/>
  <c r="E81" i="6" s="1"/>
  <c r="Q64" i="6" a="1"/>
  <c r="Q64" i="6" s="1"/>
  <c r="K64" i="6" a="1"/>
  <c r="K64" i="6" s="1"/>
  <c r="Q87" i="6" a="1"/>
  <c r="Q87" i="6" s="1"/>
  <c r="G87" i="6" a="1"/>
  <c r="G87" i="6" s="1"/>
  <c r="P99" i="6" a="1"/>
  <c r="P99" i="6" s="1"/>
  <c r="I99" i="6" a="1"/>
  <c r="I99" i="6" s="1"/>
  <c r="R95" i="6" a="1"/>
  <c r="R95" i="6" s="1"/>
  <c r="E95" i="6" a="1"/>
  <c r="E95" i="6" s="1"/>
  <c r="G82" i="6" a="1"/>
  <c r="G82" i="6" s="1"/>
  <c r="D82" i="6" a="1"/>
  <c r="D82" i="6" s="1"/>
  <c r="M89" i="6" a="1"/>
  <c r="M89" i="6" s="1"/>
  <c r="H89" i="6" a="1"/>
  <c r="H89" i="6" s="1"/>
  <c r="P70" i="6" a="1"/>
  <c r="P70" i="6" s="1"/>
  <c r="I70" i="6" a="1"/>
  <c r="I70" i="6" s="1"/>
  <c r="D84" i="6" a="1"/>
  <c r="D84" i="6" s="1"/>
  <c r="I84" i="6" a="1"/>
  <c r="I84" i="6" s="1"/>
  <c r="Q65" i="6" a="1"/>
  <c r="Q65" i="6" s="1"/>
  <c r="J65" i="6" a="1"/>
  <c r="J65" i="6" s="1"/>
  <c r="R66" i="6" a="1"/>
  <c r="R66" i="6" s="1"/>
  <c r="L66" i="6" a="1"/>
  <c r="L66" i="6" s="1"/>
  <c r="O106" i="6" a="1"/>
  <c r="O106" i="6" s="1"/>
  <c r="K106" i="6" a="1"/>
  <c r="K106" i="6" s="1"/>
  <c r="P100" i="6" a="1"/>
  <c r="P100" i="6" s="1"/>
  <c r="J100" i="6" a="1"/>
  <c r="J100" i="6" s="1"/>
  <c r="L78" i="6" a="1"/>
  <c r="L78" i="6" s="1"/>
  <c r="D78" i="6" a="1"/>
  <c r="D78" i="6" s="1"/>
  <c r="R59" i="6" a="1"/>
  <c r="R59" i="6" s="1"/>
  <c r="L59" i="6" a="1"/>
  <c r="L59" i="6" s="1"/>
  <c r="R92" i="6" a="1"/>
  <c r="R92" i="6" s="1"/>
  <c r="E92" i="6" a="1"/>
  <c r="E92" i="6" s="1"/>
  <c r="H72" i="6" a="1"/>
  <c r="H72" i="6" s="1"/>
  <c r="J72" i="6" a="1"/>
  <c r="J72" i="6" s="1"/>
  <c r="P107" i="6" a="1"/>
  <c r="P107" i="6" s="1"/>
  <c r="H107" i="6" a="1"/>
  <c r="H107" i="6" s="1"/>
  <c r="O80" i="6" a="1"/>
  <c r="O80" i="6" s="1"/>
  <c r="H80" i="6" a="1"/>
  <c r="H80" i="6" s="1"/>
  <c r="M60" i="6" a="1"/>
  <c r="M60" i="6" s="1"/>
  <c r="G60" i="6" a="1"/>
  <c r="G60" i="6" s="1"/>
  <c r="O105" i="6" a="1"/>
  <c r="O105" i="6" s="1"/>
  <c r="K105" i="6" a="1"/>
  <c r="K105" i="6" s="1"/>
  <c r="L67" i="6" a="1"/>
  <c r="L67" i="6" s="1"/>
  <c r="H67" i="6" a="1"/>
  <c r="H67" i="6" s="1"/>
  <c r="Q104" i="6" a="1"/>
  <c r="Q104" i="6" s="1"/>
  <c r="K104" i="6" a="1"/>
  <c r="K104" i="6" s="1"/>
  <c r="N71" i="6" a="1"/>
  <c r="N71" i="6" s="1"/>
  <c r="D71" i="6" a="1"/>
  <c r="D71" i="6" s="1"/>
  <c r="G73" i="6" a="1"/>
  <c r="G73" i="6" s="1"/>
  <c r="D73" i="6" a="1"/>
  <c r="D73" i="6" s="1"/>
  <c r="R74" i="6" a="1"/>
  <c r="R74" i="6" s="1"/>
  <c r="C74" i="6" a="1"/>
  <c r="C74" i="6" s="1"/>
  <c r="P61" i="6" a="1"/>
  <c r="P61" i="6" s="1"/>
  <c r="J61" i="6" a="1"/>
  <c r="J61" i="6" s="1"/>
  <c r="P97" i="6" a="1"/>
  <c r="P97" i="6" s="1"/>
  <c r="D97" i="6" a="1"/>
  <c r="D97" i="6" s="1"/>
  <c r="Q94" i="6" a="1"/>
  <c r="Q94" i="6" s="1"/>
  <c r="H94" i="6" a="1"/>
  <c r="H94" i="6" s="1"/>
  <c r="G63" i="6" a="1"/>
  <c r="G63" i="6" s="1"/>
  <c r="H63" i="6" a="1"/>
  <c r="H63" i="6" s="1"/>
  <c r="M85" i="6" a="1"/>
  <c r="M85" i="6" s="1"/>
  <c r="J85" i="6" a="1"/>
  <c r="J85" i="6" s="1"/>
  <c r="M62" i="6" a="1"/>
  <c r="M62" i="6" s="1"/>
  <c r="F62" i="6" a="1"/>
  <c r="F62" i="6" s="1"/>
  <c r="H88" i="6" a="1"/>
  <c r="H88" i="6" s="1"/>
  <c r="K88" i="6" a="1"/>
  <c r="K88" i="6" s="1"/>
  <c r="M76" i="6" a="1"/>
  <c r="M76" i="6" s="1"/>
  <c r="H76" i="6" a="1"/>
  <c r="H76" i="6" s="1"/>
  <c r="Q86" i="6" a="1"/>
  <c r="Q86" i="6" s="1"/>
  <c r="G86" i="6" a="1"/>
  <c r="G86" i="6" s="1"/>
  <c r="R83" i="6" a="1"/>
  <c r="R83" i="6" s="1"/>
  <c r="J83" i="6" a="1"/>
  <c r="J83" i="6" s="1"/>
  <c r="P93" i="6" a="1"/>
  <c r="P93" i="6" s="1"/>
  <c r="R96" i="6" a="1"/>
  <c r="R96" i="6" s="1"/>
  <c r="L96" i="6" a="1"/>
  <c r="L96" i="6" s="1"/>
  <c r="K77" i="6" a="1"/>
  <c r="K77" i="6" s="1"/>
  <c r="D77" i="6" a="1"/>
  <c r="D77" i="6" s="1"/>
  <c r="R57" i="6" a="1"/>
  <c r="R57" i="6" s="1"/>
  <c r="E57" i="6" a="1"/>
  <c r="E57" i="6" s="1"/>
  <c r="P91" i="6" a="1"/>
  <c r="P91" i="6" s="1"/>
  <c r="D91" i="6" a="1"/>
  <c r="D91" i="6" s="1"/>
  <c r="R101" i="6" a="1"/>
  <c r="R101" i="6" s="1"/>
  <c r="D101" i="6" a="1"/>
  <c r="D101" i="6" s="1"/>
  <c r="O98" i="6" a="1"/>
  <c r="O98" i="6" s="1"/>
  <c r="D98" i="6" a="1"/>
  <c r="D98" i="6" s="1"/>
  <c r="K81" i="6" a="1"/>
  <c r="K81" i="6" s="1"/>
  <c r="F81" i="6" a="1"/>
  <c r="F81" i="6" s="1"/>
  <c r="P64" i="6" a="1"/>
  <c r="P64" i="6" s="1"/>
  <c r="I64" i="6" a="1"/>
  <c r="I64" i="6" s="1"/>
  <c r="R87" i="6" a="1"/>
  <c r="R87" i="6" s="1"/>
  <c r="I87" i="6" a="1"/>
  <c r="I87" i="6" s="1"/>
  <c r="D99" i="6" a="1"/>
  <c r="D99" i="6" s="1"/>
  <c r="C99" i="6" a="1"/>
  <c r="C99" i="6" s="1"/>
  <c r="N95" i="6" a="1"/>
  <c r="N95" i="6" s="1"/>
  <c r="I95" i="6" a="1"/>
  <c r="I95" i="6" s="1"/>
  <c r="O82" i="6" a="1"/>
  <c r="O82" i="6" s="1"/>
  <c r="F82" i="6" a="1"/>
  <c r="F82" i="6" s="1"/>
  <c r="P89" i="6" a="1"/>
  <c r="P89" i="6" s="1"/>
  <c r="D89" i="6" a="1"/>
  <c r="D89" i="6" s="1"/>
  <c r="Q70" i="6" a="1"/>
  <c r="Q70" i="6" s="1"/>
  <c r="D70" i="6" a="1"/>
  <c r="D70" i="6" s="1"/>
  <c r="F84" i="6" a="1"/>
  <c r="F84" i="6" s="1"/>
  <c r="H84" i="6" a="1"/>
  <c r="H84" i="6" s="1"/>
  <c r="N65" i="6" a="1"/>
  <c r="N65" i="6" s="1"/>
  <c r="K65" i="6" a="1"/>
  <c r="K65" i="6" s="1"/>
  <c r="Q66" i="6" a="1"/>
  <c r="Q66" i="6" s="1"/>
  <c r="D66" i="6" a="1"/>
  <c r="D66" i="6" s="1"/>
  <c r="E106" i="6" a="1"/>
  <c r="E106" i="6" s="1"/>
  <c r="F106" i="6" a="1"/>
  <c r="F106" i="6" s="1"/>
  <c r="M100" i="6" a="1"/>
  <c r="M100" i="6" s="1"/>
  <c r="C100" i="6" a="1"/>
  <c r="C100" i="6" s="1"/>
  <c r="O78" i="6" a="1"/>
  <c r="O78" i="6" s="1"/>
  <c r="I78" i="6" a="1"/>
  <c r="I78" i="6" s="1"/>
  <c r="Q59" i="6" a="1"/>
  <c r="Q59" i="6" s="1"/>
  <c r="E59" i="6" a="1"/>
  <c r="E59" i="6" s="1"/>
  <c r="O92" i="6" a="1"/>
  <c r="O92" i="6" s="1"/>
  <c r="D92" i="6" a="1"/>
  <c r="D92" i="6" s="1"/>
  <c r="C72" i="6" a="1"/>
  <c r="C72" i="6" s="1"/>
  <c r="D72" i="6" a="1"/>
  <c r="D72" i="6" s="1"/>
  <c r="N107" i="6" a="1"/>
  <c r="N107" i="6" s="1"/>
  <c r="G107" i="6" a="1"/>
  <c r="G107" i="6" s="1"/>
  <c r="Q80" i="6" a="1"/>
  <c r="Q80" i="6" s="1"/>
  <c r="D80" i="6" a="1"/>
  <c r="D80" i="6" s="1"/>
  <c r="E60" i="6" a="1"/>
  <c r="E60" i="6" s="1"/>
  <c r="J60" i="6" a="1"/>
  <c r="J60" i="6" s="1"/>
  <c r="R105" i="6" a="1"/>
  <c r="R105" i="6" s="1"/>
  <c r="L105" i="6" a="1"/>
  <c r="L105" i="6" s="1"/>
  <c r="O67" i="6" a="1"/>
  <c r="O67" i="6" s="1"/>
  <c r="J67" i="6" a="1"/>
  <c r="J67" i="6" s="1"/>
  <c r="O104" i="6" a="1"/>
  <c r="O104" i="6" s="1"/>
  <c r="H104" i="6" a="1"/>
  <c r="H104" i="6" s="1"/>
  <c r="Q71" i="6" a="1"/>
  <c r="Q71" i="6" s="1"/>
  <c r="J71" i="6" a="1"/>
  <c r="J71" i="6" s="1"/>
  <c r="C73" i="6" a="1"/>
  <c r="C73" i="6" s="1"/>
  <c r="J73" i="6" a="1"/>
  <c r="J73" i="6" s="1"/>
  <c r="Q74" i="6" a="1"/>
  <c r="Q74" i="6" s="1"/>
  <c r="J74" i="6" a="1"/>
  <c r="J74" i="6" s="1"/>
  <c r="O61" i="6" a="1"/>
  <c r="O61" i="6" s="1"/>
  <c r="H61" i="6" a="1"/>
  <c r="H61" i="6" s="1"/>
  <c r="F97" i="6" a="1"/>
  <c r="F97" i="6" s="1"/>
  <c r="K97" i="6" a="1"/>
  <c r="K97" i="6" s="1"/>
  <c r="O94" i="6" a="1"/>
  <c r="O94" i="6" s="1"/>
  <c r="E94" i="6" a="1"/>
  <c r="E94" i="6" s="1"/>
  <c r="P63" i="6" a="1"/>
  <c r="P63" i="6" s="1"/>
  <c r="D63" i="6" a="1"/>
  <c r="D63" i="6" s="1"/>
  <c r="Q85" i="6" a="1"/>
  <c r="Q85" i="6" s="1"/>
  <c r="E85" i="6" a="1"/>
  <c r="E85" i="6" s="1"/>
  <c r="N62" i="6" a="1"/>
  <c r="N62" i="6" s="1"/>
  <c r="C62" i="6" a="1"/>
  <c r="C62" i="6" s="1"/>
  <c r="J88" i="6" a="1"/>
  <c r="J88" i="6" s="1"/>
  <c r="C88" i="6" a="1"/>
  <c r="C88" i="6" s="1"/>
  <c r="R76" i="6" a="1"/>
  <c r="R76" i="6" s="1"/>
  <c r="C76" i="6" a="1"/>
  <c r="C76" i="6" s="1"/>
  <c r="M86" i="6" a="1"/>
  <c r="M86" i="6" s="1"/>
  <c r="I86" i="6" a="1"/>
  <c r="I86" i="6" s="1"/>
  <c r="G83" i="6" a="1"/>
  <c r="G83" i="6" s="1"/>
  <c r="L83" i="6" a="1"/>
  <c r="L83" i="6" s="1"/>
  <c r="Q96" i="6" a="1"/>
  <c r="Q96" i="6" s="1"/>
  <c r="G96" i="6" a="1"/>
  <c r="G96" i="6" s="1"/>
  <c r="I77" i="6" a="1"/>
  <c r="I77" i="6" s="1"/>
  <c r="G77" i="6" a="1"/>
  <c r="G77" i="6" s="1"/>
  <c r="P57" i="6" a="1"/>
  <c r="P57" i="6" s="1"/>
  <c r="L57" i="6" a="1"/>
  <c r="L57" i="6" s="1"/>
  <c r="O91" i="6" a="1"/>
  <c r="O91" i="6" s="1"/>
  <c r="J91" i="6" a="1"/>
  <c r="J91" i="6" s="1"/>
  <c r="I101" i="6" a="1"/>
  <c r="I101" i="6" s="1"/>
  <c r="L101" i="6" a="1"/>
  <c r="L101" i="6" s="1"/>
  <c r="N98" i="6" a="1"/>
  <c r="N98" i="6" s="1"/>
  <c r="F98" i="6" a="1"/>
  <c r="F98" i="6" s="1"/>
  <c r="Q81" i="6" a="1"/>
  <c r="Q81" i="6" s="1"/>
  <c r="H81" i="6" a="1"/>
  <c r="H81" i="6" s="1"/>
  <c r="M64" i="6" a="1"/>
  <c r="M64" i="6" s="1"/>
  <c r="E64" i="6" a="1"/>
  <c r="E64" i="6" s="1"/>
  <c r="M87" i="6" a="1"/>
  <c r="M87" i="6" s="1"/>
  <c r="F87" i="6" a="1"/>
  <c r="F87" i="6" s="1"/>
  <c r="G99" i="6" a="1"/>
  <c r="G99" i="6" s="1"/>
  <c r="L99" i="6" a="1"/>
  <c r="L99" i="6" s="1"/>
  <c r="Q95" i="6" a="1"/>
  <c r="Q95" i="6" s="1"/>
  <c r="F95" i="6" a="1"/>
  <c r="F95" i="6" s="1"/>
  <c r="P82" i="6" a="1"/>
  <c r="P82" i="6" s="1"/>
  <c r="L82" i="6" a="1"/>
  <c r="L82" i="6" s="1"/>
  <c r="K89" i="6" a="1"/>
  <c r="K89" i="6" s="1"/>
  <c r="F89" i="6" a="1"/>
  <c r="F89" i="6" s="1"/>
  <c r="R70" i="6" a="1"/>
  <c r="R70" i="6" s="1"/>
  <c r="C70" i="6" a="1"/>
  <c r="C70" i="6" s="1"/>
  <c r="M84" i="6" a="1"/>
  <c r="M84" i="6" s="1"/>
  <c r="C84" i="6" a="1"/>
  <c r="C84" i="6" s="1"/>
  <c r="R65" i="6" a="1"/>
  <c r="R65" i="6" s="1"/>
  <c r="F65" i="6" a="1"/>
  <c r="F65" i="6" s="1"/>
  <c r="P66" i="6" a="1"/>
  <c r="P66" i="6" s="1"/>
  <c r="C66" i="6" a="1"/>
  <c r="C66" i="6" s="1"/>
  <c r="H106" i="6" a="1"/>
  <c r="H106" i="6" s="1"/>
  <c r="J106" i="6" a="1"/>
  <c r="J106" i="6" s="1"/>
  <c r="R100" i="6" a="1"/>
  <c r="R100" i="6" s="1"/>
  <c r="K100" i="6" a="1"/>
  <c r="K100" i="6" s="1"/>
  <c r="R78" i="6" a="1"/>
  <c r="R78" i="6" s="1"/>
  <c r="C78" i="6" a="1"/>
  <c r="C78" i="6" s="1"/>
  <c r="C59" i="6" a="1"/>
  <c r="C59" i="6" s="1"/>
  <c r="F59" i="6" a="1"/>
  <c r="F59" i="6" s="1"/>
  <c r="M92" i="6" a="1"/>
  <c r="M92" i="6" s="1"/>
  <c r="C92" i="6" a="1"/>
  <c r="C92" i="6" s="1"/>
  <c r="N72" i="6" a="1"/>
  <c r="N72" i="6" s="1"/>
  <c r="K72" i="6" a="1"/>
  <c r="K72" i="6" s="1"/>
  <c r="M107" i="6" a="1"/>
  <c r="M107" i="6" s="1"/>
  <c r="L107" i="6" a="1"/>
  <c r="L107" i="6" s="1"/>
  <c r="N80" i="6" a="1"/>
  <c r="N80" i="6" s="1"/>
  <c r="J80" i="6" a="1"/>
  <c r="J80" i="6" s="1"/>
  <c r="D60" i="6" a="1"/>
  <c r="D60" i="6" s="1"/>
  <c r="F60" i="6" a="1"/>
  <c r="F60" i="6" s="1"/>
  <c r="M105" i="6" a="1"/>
  <c r="M105" i="6" s="1"/>
  <c r="F105" i="6" a="1"/>
  <c r="F105" i="6" s="1"/>
  <c r="N67" i="6" a="1"/>
  <c r="N67" i="6" s="1"/>
  <c r="K67" i="6" a="1"/>
  <c r="K67" i="6" s="1"/>
  <c r="L104" i="6" a="1"/>
  <c r="L104" i="6" s="1"/>
  <c r="D104" i="6" a="1"/>
  <c r="D104" i="6" s="1"/>
  <c r="O71" i="6" a="1"/>
  <c r="O71" i="6" s="1"/>
  <c r="L71" i="6" a="1"/>
  <c r="L71" i="6" s="1"/>
  <c r="R73" i="6" a="1"/>
  <c r="R73" i="6" s="1"/>
  <c r="H73" i="6" a="1"/>
  <c r="H73" i="6" s="1"/>
  <c r="P74" i="6" a="1"/>
  <c r="P74" i="6" s="1"/>
  <c r="G74" i="6" a="1"/>
  <c r="G74" i="6" s="1"/>
  <c r="R61" i="6" a="1"/>
  <c r="R61" i="6" s="1"/>
  <c r="G61" i="6" a="1"/>
  <c r="G61" i="6" s="1"/>
  <c r="C97" i="6" a="1"/>
  <c r="C97" i="6" s="1"/>
  <c r="L97" i="6" a="1"/>
  <c r="L97" i="6" s="1"/>
  <c r="R94" i="6" a="1"/>
  <c r="R94" i="6" s="1"/>
  <c r="F94" i="6" a="1"/>
  <c r="F94" i="6" s="1"/>
  <c r="Q63" i="6" a="1"/>
  <c r="Q63" i="6" s="1"/>
  <c r="J63" i="6" a="1"/>
  <c r="J63" i="6" s="1"/>
  <c r="L85" i="6" a="1"/>
  <c r="L85" i="6" s="1"/>
  <c r="H85" i="6" a="1"/>
  <c r="H85" i="6" s="1"/>
  <c r="Q62" i="6" a="1"/>
  <c r="Q62" i="6" s="1"/>
  <c r="H62" i="6" a="1"/>
  <c r="H62" i="6" s="1"/>
  <c r="R88" i="6" a="1"/>
  <c r="R88" i="6" s="1"/>
  <c r="L88" i="6" a="1"/>
  <c r="L88" i="6" s="1"/>
  <c r="O76" i="6" a="1"/>
  <c r="O76" i="6" s="1"/>
  <c r="E76" i="6" a="1"/>
  <c r="E76" i="6" s="1"/>
  <c r="P86" i="6" a="1"/>
  <c r="P86" i="6" s="1"/>
  <c r="F86" i="6" a="1"/>
  <c r="F86" i="6" s="1"/>
  <c r="C83" i="6" a="1"/>
  <c r="C83" i="6" s="1"/>
  <c r="O96" i="6" a="1"/>
  <c r="O96" i="6" s="1"/>
  <c r="I96" i="6" a="1"/>
  <c r="I96" i="6" s="1"/>
  <c r="M77" i="6" a="1"/>
  <c r="M77" i="6" s="1"/>
  <c r="J77" i="6" a="1"/>
  <c r="J77" i="6" s="1"/>
  <c r="M57" i="6" a="1"/>
  <c r="M57" i="6" s="1"/>
  <c r="D57" i="6" a="1"/>
  <c r="D57" i="6" s="1"/>
  <c r="N91" i="6" a="1"/>
  <c r="N91" i="6" s="1"/>
  <c r="K91" i="6" a="1"/>
  <c r="K91" i="6" s="1"/>
  <c r="F101" i="6" a="1"/>
  <c r="F101" i="6" s="1"/>
  <c r="E101" i="6" a="1"/>
  <c r="E101" i="6" s="1"/>
  <c r="M98" i="6" a="1"/>
  <c r="M98" i="6" s="1"/>
  <c r="J98" i="6" a="1"/>
  <c r="J98" i="6" s="1"/>
  <c r="O81" i="6" a="1"/>
  <c r="O81" i="6" s="1"/>
  <c r="L81" i="6" a="1"/>
  <c r="L81" i="6" s="1"/>
  <c r="D64" i="6" a="1"/>
  <c r="D64" i="6" s="1"/>
  <c r="H64" i="6" a="1"/>
  <c r="H64" i="6" s="1"/>
  <c r="O87" i="6" a="1"/>
  <c r="O87" i="6" s="1"/>
  <c r="C87" i="6" a="1"/>
  <c r="C87" i="6" s="1"/>
  <c r="N99" i="6" a="1"/>
  <c r="N99" i="6" s="1"/>
  <c r="E99" i="6" a="1"/>
  <c r="E99" i="6" s="1"/>
  <c r="P95" i="6" a="1"/>
  <c r="P95" i="6" s="1"/>
  <c r="K95" i="6" a="1"/>
  <c r="K95" i="6" s="1"/>
  <c r="Q82" i="6" a="1"/>
  <c r="Q82" i="6" s="1"/>
  <c r="E82" i="6" a="1"/>
  <c r="E82" i="6" s="1"/>
  <c r="E89" i="6" a="1"/>
  <c r="E89" i="6" s="1"/>
  <c r="G89" i="6" a="1"/>
  <c r="G89" i="6" s="1"/>
  <c r="M70" i="6" a="1"/>
  <c r="M70" i="6" s="1"/>
  <c r="K70" i="6" a="1"/>
  <c r="K70" i="6" s="1"/>
  <c r="P84" i="6" a="1"/>
  <c r="P84" i="6" s="1"/>
  <c r="L84" i="6" a="1"/>
  <c r="L84" i="6" s="1"/>
  <c r="L65" i="6" a="1"/>
  <c r="L65" i="6" s="1"/>
  <c r="H65" i="6" a="1"/>
  <c r="H65" i="6" s="1"/>
  <c r="N66" i="6" a="1"/>
  <c r="N66" i="6" s="1"/>
  <c r="H66" i="6" a="1"/>
  <c r="H66" i="6" s="1"/>
  <c r="M106" i="6" a="1"/>
  <c r="M106" i="6" s="1"/>
  <c r="I106" i="6" a="1"/>
  <c r="I106" i="6" s="1"/>
  <c r="Q100" i="6" a="1"/>
  <c r="Q100" i="6" s="1"/>
  <c r="L100" i="6" a="1"/>
  <c r="L100" i="6" s="1"/>
  <c r="Q78" i="6" a="1"/>
  <c r="Q78" i="6" s="1"/>
  <c r="E78" i="6" a="1"/>
  <c r="E78" i="6" s="1"/>
  <c r="H59" i="6" a="1"/>
  <c r="H59" i="6" s="1"/>
  <c r="G59" i="6" a="1"/>
  <c r="G59" i="6" s="1"/>
  <c r="N92" i="6" a="1"/>
  <c r="N92" i="6" s="1"/>
  <c r="G92" i="6" a="1"/>
  <c r="G92" i="6" s="1"/>
  <c r="P72" i="6" a="1"/>
  <c r="P72" i="6" s="1"/>
  <c r="F72" i="6" a="1"/>
  <c r="F72" i="6" s="1"/>
  <c r="E107" i="6" a="1"/>
  <c r="E107" i="6" s="1"/>
  <c r="D107" i="6" a="1"/>
  <c r="D107" i="6" s="1"/>
  <c r="P80" i="6" a="1"/>
  <c r="P80" i="6" s="1"/>
  <c r="I80" i="6" a="1"/>
  <c r="I80" i="6" s="1"/>
  <c r="N60" i="6" a="1"/>
  <c r="N60" i="6" s="1"/>
  <c r="H60" i="6" a="1"/>
  <c r="H60" i="6" s="1"/>
  <c r="N105" i="6" a="1"/>
  <c r="N105" i="6" s="1"/>
  <c r="I105" i="6" a="1"/>
  <c r="I105" i="6" s="1"/>
  <c r="P67" i="6" a="1"/>
  <c r="P67" i="6" s="1"/>
  <c r="G67" i="6" a="1"/>
  <c r="G67" i="6" s="1"/>
  <c r="C104" i="6" a="1"/>
  <c r="C104" i="6" s="1"/>
  <c r="F104" i="6" a="1"/>
  <c r="F104" i="6" s="1"/>
  <c r="M71" i="6" a="1"/>
  <c r="M71" i="6" s="1"/>
  <c r="F71" i="6" a="1"/>
  <c r="F71" i="6" s="1"/>
  <c r="N73" i="6" a="1"/>
  <c r="N73" i="6" s="1"/>
  <c r="E73" i="6" a="1"/>
  <c r="E73" i="6" s="1"/>
  <c r="I74" i="6" a="1"/>
  <c r="I74" i="6" s="1"/>
  <c r="E74" i="6" a="1"/>
  <c r="E74" i="6" s="1"/>
  <c r="M61" i="6" a="1"/>
  <c r="M61" i="6" s="1"/>
  <c r="D61" i="6" a="1"/>
  <c r="D61" i="6" s="1"/>
  <c r="M97" i="6" a="1"/>
  <c r="M97" i="6" s="1"/>
  <c r="H97" i="6" a="1"/>
  <c r="H97" i="6" s="1"/>
  <c r="N94" i="6" a="1"/>
  <c r="N94" i="6" s="1"/>
  <c r="G94" i="6" a="1"/>
  <c r="G94" i="6" s="1"/>
  <c r="M63" i="6" a="1"/>
  <c r="M63" i="6" s="1"/>
  <c r="L63" i="6" a="1"/>
  <c r="L63" i="6" s="1"/>
  <c r="F85" i="6" a="1"/>
  <c r="F85" i="6" s="1"/>
  <c r="N96" i="6" a="1"/>
  <c r="N96" i="6" s="1"/>
  <c r="E96" i="6" a="1"/>
  <c r="E96" i="6" s="1"/>
  <c r="Q77" i="6" a="1"/>
  <c r="Q77" i="6" s="1"/>
  <c r="E77" i="6" a="1"/>
  <c r="E77" i="6" s="1"/>
  <c r="J57" i="6" a="1"/>
  <c r="J57" i="6" s="1"/>
  <c r="K57" i="6" a="1"/>
  <c r="K57" i="6" s="1"/>
  <c r="Q91" i="6" a="1"/>
  <c r="Q91" i="6" s="1"/>
  <c r="C91" i="6" a="1"/>
  <c r="C91" i="6" s="1"/>
  <c r="P101" i="6" a="1"/>
  <c r="P101" i="6" s="1"/>
  <c r="H101" i="6" a="1"/>
  <c r="H101" i="6" s="1"/>
  <c r="R98" i="6" a="1"/>
  <c r="R98" i="6" s="1"/>
  <c r="H98" i="6" a="1"/>
  <c r="H98" i="6" s="1"/>
  <c r="P81" i="6" a="1"/>
  <c r="P81" i="6" s="1"/>
  <c r="G81" i="6" a="1"/>
  <c r="G81" i="6" s="1"/>
  <c r="C64" i="6" a="1"/>
  <c r="C64" i="6" s="1"/>
  <c r="F64" i="6" a="1"/>
  <c r="F64" i="6" s="1"/>
  <c r="N87" i="6" a="1"/>
  <c r="N87" i="6" s="1"/>
  <c r="E87" i="6" a="1"/>
  <c r="E87" i="6" s="1"/>
  <c r="R99" i="6" a="1"/>
  <c r="R99" i="6" s="1"/>
  <c r="K99" i="6" a="1"/>
  <c r="K99" i="6" s="1"/>
  <c r="C95" i="6" a="1"/>
  <c r="C95" i="6" s="1"/>
  <c r="L95" i="6" a="1"/>
  <c r="L95" i="6" s="1"/>
  <c r="R82" i="6" a="1"/>
  <c r="R82" i="6" s="1"/>
  <c r="K82" i="6" a="1"/>
  <c r="K82" i="6" s="1"/>
  <c r="R89" i="6" a="1"/>
  <c r="R89" i="6" s="1"/>
  <c r="J89" i="6" a="1"/>
  <c r="J89" i="6" s="1"/>
  <c r="N70" i="6" a="1"/>
  <c r="N70" i="6" s="1"/>
  <c r="J70" i="6" a="1"/>
  <c r="J70" i="6" s="1"/>
  <c r="O84" i="6" a="1"/>
  <c r="O84" i="6" s="1"/>
  <c r="E84" i="6" a="1"/>
  <c r="E84" i="6" s="1"/>
  <c r="E65" i="6" a="1"/>
  <c r="E65" i="6" s="1"/>
  <c r="C65" i="6" a="1"/>
  <c r="C65" i="6" s="1"/>
  <c r="O66" i="6" a="1"/>
  <c r="O66" i="6" s="1"/>
  <c r="G66" i="6" a="1"/>
  <c r="G66" i="6" s="1"/>
  <c r="R106" i="6" a="1"/>
  <c r="R106" i="6" s="1"/>
  <c r="C106" i="6" a="1"/>
  <c r="C106" i="6" s="1"/>
  <c r="G100" i="6" a="1"/>
  <c r="G100" i="6" s="1"/>
  <c r="F100" i="6" a="1"/>
  <c r="F100" i="6" s="1"/>
  <c r="P78" i="6" a="1"/>
  <c r="P78" i="6" s="1"/>
  <c r="K78" i="6" a="1"/>
  <c r="K78" i="6" s="1"/>
  <c r="N59" i="6" a="1"/>
  <c r="N59" i="6" s="1"/>
  <c r="I59" i="6" a="1"/>
  <c r="I59" i="6" s="1"/>
  <c r="Q92" i="6" a="1"/>
  <c r="Q92" i="6" s="1"/>
  <c r="F92" i="6" a="1"/>
  <c r="F92" i="6" s="1"/>
  <c r="M72" i="6" a="1"/>
  <c r="M72" i="6" s="1"/>
  <c r="L72" i="6" a="1"/>
  <c r="L72" i="6" s="1"/>
  <c r="C107" i="6" a="1"/>
  <c r="C107" i="6" s="1"/>
  <c r="J107" i="6" a="1"/>
  <c r="J107" i="6" s="1"/>
  <c r="M80" i="6" a="1"/>
  <c r="M80" i="6" s="1"/>
  <c r="K80" i="6" a="1"/>
  <c r="K80" i="6" s="1"/>
  <c r="O60" i="6" a="1"/>
  <c r="O60" i="6" s="1"/>
  <c r="K60" i="6" a="1"/>
  <c r="K60" i="6" s="1"/>
  <c r="G105" i="6" a="1"/>
  <c r="G105" i="6" s="1"/>
  <c r="C105" i="6" a="1"/>
  <c r="C105" i="6" s="1"/>
  <c r="R67" i="6" a="1"/>
  <c r="R67" i="6" s="1"/>
  <c r="E67" i="6" a="1"/>
  <c r="E67" i="6" s="1"/>
  <c r="M104" i="6" a="1"/>
  <c r="M104" i="6" s="1"/>
  <c r="I104" i="6" a="1"/>
  <c r="I104" i="6" s="1"/>
  <c r="R71" i="6" a="1"/>
  <c r="R71" i="6" s="1"/>
  <c r="H71" i="6" a="1"/>
  <c r="H71" i="6" s="1"/>
  <c r="P73" i="6" a="1"/>
  <c r="P73" i="6" s="1"/>
  <c r="F73" i="6" a="1"/>
  <c r="F73" i="6" s="1"/>
  <c r="H74" i="6" a="1"/>
  <c r="H74" i="6" s="1"/>
  <c r="L74" i="6" a="1"/>
  <c r="L74" i="6" s="1"/>
  <c r="N61" i="6" a="1"/>
  <c r="N61" i="6" s="1"/>
  <c r="L61" i="6" a="1"/>
  <c r="L61" i="6" s="1"/>
  <c r="O97" i="6" a="1"/>
  <c r="O97" i="6" s="1"/>
  <c r="I97" i="6" a="1"/>
  <c r="I97" i="6" s="1"/>
  <c r="C94" i="6" a="1"/>
  <c r="C94" i="6" s="1"/>
  <c r="D94" i="6" a="1"/>
  <c r="D94" i="6" s="1"/>
  <c r="R63" i="6" a="1"/>
  <c r="R63" i="6" s="1"/>
  <c r="F63" i="6" a="1"/>
  <c r="F63" i="6" s="1"/>
  <c r="P85" i="6" a="1"/>
  <c r="P85" i="6" s="1"/>
  <c r="C85" i="6" a="1"/>
  <c r="C85" i="6" s="1"/>
  <c r="R62" i="6" a="1"/>
  <c r="R62" i="6" s="1"/>
  <c r="E62" i="6" a="1"/>
  <c r="E62" i="6" s="1"/>
  <c r="N88" i="6" a="1"/>
  <c r="N88" i="6" s="1"/>
  <c r="D88" i="6" a="1"/>
  <c r="D88" i="6" s="1"/>
  <c r="D76" i="6" a="1"/>
  <c r="D76" i="6" s="1"/>
  <c r="F76" i="6" a="1"/>
  <c r="F76" i="6" s="1"/>
  <c r="R86" i="6" a="1"/>
  <c r="R86" i="6" s="1"/>
  <c r="C86" i="6" a="1"/>
  <c r="C86" i="6" s="1"/>
  <c r="N83" i="6" a="1"/>
  <c r="N83" i="6" s="1"/>
  <c r="F83" i="6" a="1"/>
  <c r="F83" i="6" s="1"/>
  <c r="E58" i="6" a="1"/>
  <c r="E58" i="6" s="1"/>
  <c r="P58" i="6" a="1"/>
  <c r="P58" i="6" s="1"/>
  <c r="G79" i="6" a="1"/>
  <c r="G79" i="6" s="1"/>
  <c r="H79" i="6" a="1"/>
  <c r="H79" i="6" s="1"/>
  <c r="G75" i="6" a="1"/>
  <c r="G75" i="6" s="1"/>
  <c r="O75" i="6" a="1"/>
  <c r="O75" i="6" s="1"/>
  <c r="E68" i="6" a="1"/>
  <c r="E68" i="6" s="1"/>
  <c r="P68" i="6" a="1"/>
  <c r="P68" i="6" s="1"/>
  <c r="E69" i="6" a="1"/>
  <c r="E69" i="6" s="1"/>
  <c r="F69" i="6" a="1"/>
  <c r="F69" i="6" s="1"/>
  <c r="G90" i="6" a="1"/>
  <c r="G90" i="6" s="1"/>
  <c r="O90" i="6" a="1"/>
  <c r="O90" i="6" s="1"/>
  <c r="C102" i="6" a="1"/>
  <c r="C102" i="6" s="1"/>
  <c r="M102" i="6" a="1"/>
  <c r="M102" i="6" s="1"/>
  <c r="J103" i="6" a="1"/>
  <c r="J103" i="6" s="1"/>
  <c r="R103" i="6" a="1"/>
  <c r="R103" i="6" s="1"/>
  <c r="C93" i="6" a="1"/>
  <c r="C93" i="6" s="1"/>
  <c r="M93" i="6" a="1"/>
  <c r="M93" i="6" s="1"/>
  <c r="O83" i="6" a="1"/>
  <c r="O83" i="6" s="1"/>
  <c r="D85" i="6" a="1"/>
  <c r="D85" i="6" s="1"/>
  <c r="D58" i="6" a="1"/>
  <c r="D58" i="6" s="1"/>
  <c r="M58" i="6" a="1"/>
  <c r="M58" i="6" s="1"/>
  <c r="C79" i="6" a="1"/>
  <c r="C79" i="6" s="1"/>
  <c r="N79" i="6" a="1"/>
  <c r="N79" i="6" s="1"/>
  <c r="L75" i="6" a="1"/>
  <c r="L75" i="6" s="1"/>
  <c r="R75" i="6" a="1"/>
  <c r="R75" i="6" s="1"/>
  <c r="G68" i="6" a="1"/>
  <c r="G68" i="6" s="1"/>
  <c r="Q68" i="6" a="1"/>
  <c r="Q68" i="6" s="1"/>
  <c r="J69" i="6" a="1"/>
  <c r="J69" i="6" s="1"/>
  <c r="K69" i="6" a="1"/>
  <c r="K69" i="6" s="1"/>
  <c r="D90" i="6" a="1"/>
  <c r="D90" i="6" s="1"/>
  <c r="M90" i="6" a="1"/>
  <c r="M90" i="6" s="1"/>
  <c r="G102" i="6" a="1"/>
  <c r="G102" i="6" s="1"/>
  <c r="R102" i="6" a="1"/>
  <c r="R102" i="6" s="1"/>
  <c r="I103" i="6" a="1"/>
  <c r="I103" i="6" s="1"/>
  <c r="H103" i="6" a="1"/>
  <c r="H103" i="6" s="1"/>
  <c r="F93" i="6" a="1"/>
  <c r="F93" i="6" s="1"/>
  <c r="J62" i="6" a="1"/>
  <c r="J62" i="6" s="1"/>
  <c r="H58" i="6" a="1"/>
  <c r="H58" i="6" s="1"/>
  <c r="R58" i="6" a="1"/>
  <c r="R58" i="6" s="1"/>
  <c r="F79" i="6" a="1"/>
  <c r="F79" i="6" s="1"/>
  <c r="M79" i="6" a="1"/>
  <c r="M79" i="6" s="1"/>
  <c r="H75" i="6" a="1"/>
  <c r="H75" i="6" s="1"/>
  <c r="I75" i="6" a="1"/>
  <c r="I75" i="6" s="1"/>
  <c r="F68" i="6" a="1"/>
  <c r="F68" i="6" s="1"/>
  <c r="O68" i="6" a="1"/>
  <c r="O68" i="6" s="1"/>
  <c r="D69" i="6" a="1"/>
  <c r="D69" i="6" s="1"/>
  <c r="Q69" i="6" a="1"/>
  <c r="Q69" i="6" s="1"/>
  <c r="L90" i="6" a="1"/>
  <c r="L90" i="6" s="1"/>
  <c r="N90" i="6" a="1"/>
  <c r="N90" i="6" s="1"/>
  <c r="F102" i="6" a="1"/>
  <c r="F102" i="6" s="1"/>
  <c r="Q102" i="6" a="1"/>
  <c r="Q102" i="6" s="1"/>
  <c r="G103" i="6" a="1"/>
  <c r="G103" i="6" s="1"/>
  <c r="K103" i="6" a="1"/>
  <c r="K103" i="6" s="1"/>
  <c r="L93" i="6" a="1"/>
  <c r="L93" i="6" s="1"/>
  <c r="I88" i="6" a="1"/>
  <c r="I88" i="6" s="1"/>
  <c r="K62" i="6" a="1"/>
  <c r="K62" i="6" s="1"/>
  <c r="K58" i="6" a="1"/>
  <c r="K58" i="6" s="1"/>
  <c r="N58" i="6" a="1"/>
  <c r="N58" i="6" s="1"/>
  <c r="I79" i="6" a="1"/>
  <c r="I79" i="6" s="1"/>
  <c r="R79" i="6" a="1"/>
  <c r="R79" i="6" s="1"/>
  <c r="C75" i="6" a="1"/>
  <c r="C75" i="6" s="1"/>
  <c r="K75" i="6" a="1"/>
  <c r="K75" i="6" s="1"/>
  <c r="I68" i="6" a="1"/>
  <c r="I68" i="6" s="1"/>
  <c r="N68" i="6" a="1"/>
  <c r="N68" i="6" s="1"/>
  <c r="H69" i="6" a="1"/>
  <c r="H69" i="6" s="1"/>
  <c r="R69" i="6" a="1"/>
  <c r="R69" i="6" s="1"/>
  <c r="I90" i="6" a="1"/>
  <c r="I90" i="6" s="1"/>
  <c r="K90" i="6" a="1"/>
  <c r="K90" i="6" s="1"/>
  <c r="K102" i="6" a="1"/>
  <c r="K102" i="6" s="1"/>
  <c r="N102" i="6" a="1"/>
  <c r="N102" i="6" s="1"/>
  <c r="L103" i="6" a="1"/>
  <c r="L103" i="6" s="1"/>
  <c r="N103" i="6" a="1"/>
  <c r="N103" i="6" s="1"/>
  <c r="J93" i="6" a="1"/>
  <c r="J93" i="6" s="1"/>
  <c r="G76" i="6" a="1"/>
  <c r="G76" i="6" s="1"/>
  <c r="F88" i="6" a="1"/>
  <c r="F88" i="6" s="1"/>
  <c r="P62" i="6" a="1"/>
  <c r="P62" i="6" s="1"/>
  <c r="C56" i="6" a="1"/>
  <c r="C56" i="6" s="1"/>
  <c r="W56" i="6" s="1"/>
  <c r="I58" i="6" a="1"/>
  <c r="I58" i="6" s="1"/>
  <c r="F58" i="6" a="1"/>
  <c r="F58" i="6" s="1"/>
  <c r="D79" i="6" a="1"/>
  <c r="D79" i="6" s="1"/>
  <c r="O79" i="6" a="1"/>
  <c r="O79" i="6" s="1"/>
  <c r="F75" i="6" a="1"/>
  <c r="F75" i="6" s="1"/>
  <c r="P75" i="6" a="1"/>
  <c r="P75" i="6" s="1"/>
  <c r="L68" i="6" a="1"/>
  <c r="L68" i="6" s="1"/>
  <c r="R68" i="6" a="1"/>
  <c r="R68" i="6" s="1"/>
  <c r="G69" i="6" a="1"/>
  <c r="G69" i="6" s="1"/>
  <c r="O69" i="6" a="1"/>
  <c r="O69" i="6" s="1"/>
  <c r="C90" i="6" a="1"/>
  <c r="C90" i="6" s="1"/>
  <c r="H90" i="6" a="1"/>
  <c r="H90" i="6" s="1"/>
  <c r="D102" i="6" a="1"/>
  <c r="D102" i="6" s="1"/>
  <c r="P102" i="6" a="1"/>
  <c r="P102" i="6" s="1"/>
  <c r="F103" i="6" a="1"/>
  <c r="F103" i="6" s="1"/>
  <c r="Q103" i="6" a="1"/>
  <c r="Q103" i="6" s="1"/>
  <c r="G93" i="6" a="1"/>
  <c r="G93" i="6" s="1"/>
  <c r="H93" i="6" a="1"/>
  <c r="H93" i="6" s="1"/>
  <c r="D83" i="6" a="1"/>
  <c r="D83" i="6" s="1"/>
  <c r="L86" i="6" a="1"/>
  <c r="L86" i="6" s="1"/>
  <c r="K76" i="6" a="1"/>
  <c r="K76" i="6" s="1"/>
  <c r="Q88" i="6" a="1"/>
  <c r="Q88" i="6" s="1"/>
  <c r="O62" i="6" a="1"/>
  <c r="O62" i="6" s="1"/>
  <c r="C58" i="6" a="1"/>
  <c r="C58" i="6" s="1"/>
  <c r="L58" i="6" a="1"/>
  <c r="L58" i="6" s="1"/>
  <c r="L79" i="6" a="1"/>
  <c r="L79" i="6" s="1"/>
  <c r="Q79" i="6" a="1"/>
  <c r="Q79" i="6" s="1"/>
  <c r="D75" i="6" a="1"/>
  <c r="D75" i="6" s="1"/>
  <c r="Q75" i="6" a="1"/>
  <c r="Q75" i="6" s="1"/>
  <c r="K68" i="6" a="1"/>
  <c r="K68" i="6" s="1"/>
  <c r="C68" i="6" a="1"/>
  <c r="C68" i="6" s="1"/>
  <c r="L69" i="6" a="1"/>
  <c r="L69" i="6" s="1"/>
  <c r="P69" i="6" a="1"/>
  <c r="P69" i="6" s="1"/>
  <c r="F90" i="6" a="1"/>
  <c r="F90" i="6" s="1"/>
  <c r="Q90" i="6" a="1"/>
  <c r="Q90" i="6" s="1"/>
  <c r="E102" i="6" a="1"/>
  <c r="E102" i="6" s="1"/>
  <c r="O102" i="6" a="1"/>
  <c r="O102" i="6" s="1"/>
  <c r="D103" i="6" a="1"/>
  <c r="D103" i="6" s="1"/>
  <c r="O103" i="6" a="1"/>
  <c r="O103" i="6" s="1"/>
  <c r="K93" i="6" a="1"/>
  <c r="K93" i="6" s="1"/>
  <c r="Q93" i="6" a="1"/>
  <c r="Q93" i="6" s="1"/>
  <c r="I83" i="6" a="1"/>
  <c r="I83" i="6" s="1"/>
  <c r="J86" i="6" a="1"/>
  <c r="J86" i="6" s="1"/>
  <c r="I76" i="6" a="1"/>
  <c r="I76" i="6" s="1"/>
  <c r="O88" i="6" a="1"/>
  <c r="O88" i="6" s="1"/>
  <c r="J58" i="6" a="1"/>
  <c r="J58" i="6" s="1"/>
  <c r="Q58" i="6" a="1"/>
  <c r="Q58" i="6" s="1"/>
  <c r="K79" i="6" a="1"/>
  <c r="K79" i="6" s="1"/>
  <c r="P79" i="6" a="1"/>
  <c r="P79" i="6" s="1"/>
  <c r="J75" i="6" a="1"/>
  <c r="J75" i="6" s="1"/>
  <c r="N75" i="6" a="1"/>
  <c r="N75" i="6" s="1"/>
  <c r="J68" i="6" a="1"/>
  <c r="J68" i="6" s="1"/>
  <c r="H68" i="6" a="1"/>
  <c r="H68" i="6" s="1"/>
  <c r="C69" i="6" a="1"/>
  <c r="C69" i="6" s="1"/>
  <c r="N69" i="6" a="1"/>
  <c r="N69" i="6" s="1"/>
  <c r="E90" i="6" a="1"/>
  <c r="E90" i="6" s="1"/>
  <c r="P90" i="6" a="1"/>
  <c r="P90" i="6" s="1"/>
  <c r="J102" i="6" a="1"/>
  <c r="J102" i="6" s="1"/>
  <c r="I102" i="6" a="1"/>
  <c r="I102" i="6" s="1"/>
  <c r="E103" i="6" a="1"/>
  <c r="E103" i="6" s="1"/>
  <c r="P103" i="6" a="1"/>
  <c r="P103" i="6" s="1"/>
  <c r="D93" i="6" a="1"/>
  <c r="D93" i="6" s="1"/>
  <c r="N93" i="6" a="1"/>
  <c r="N93" i="6" s="1"/>
  <c r="E83" i="6" a="1"/>
  <c r="E83" i="6" s="1"/>
  <c r="K86" i="6" a="1"/>
  <c r="K86" i="6" s="1"/>
  <c r="P76" i="6" a="1"/>
  <c r="P76" i="6" s="1"/>
  <c r="G58" i="6" a="1"/>
  <c r="G58" i="6" s="1"/>
  <c r="O58" i="6" a="1"/>
  <c r="O58" i="6" s="1"/>
  <c r="J79" i="6" a="1"/>
  <c r="J79" i="6" s="1"/>
  <c r="E79" i="6" a="1"/>
  <c r="E79" i="6" s="1"/>
  <c r="E75" i="6" a="1"/>
  <c r="E75" i="6" s="1"/>
  <c r="M75" i="6" a="1"/>
  <c r="M75" i="6" s="1"/>
  <c r="D68" i="6" a="1"/>
  <c r="D68" i="6" s="1"/>
  <c r="M68" i="6" a="1"/>
  <c r="M68" i="6" s="1"/>
  <c r="I69" i="6" a="1"/>
  <c r="I69" i="6" s="1"/>
  <c r="M69" i="6" a="1"/>
  <c r="M69" i="6" s="1"/>
  <c r="J90" i="6" a="1"/>
  <c r="J90" i="6" s="1"/>
  <c r="R90" i="6" a="1"/>
  <c r="R90" i="6" s="1"/>
  <c r="H102" i="6" a="1"/>
  <c r="H102" i="6" s="1"/>
  <c r="L102" i="6" a="1"/>
  <c r="L102" i="6" s="1"/>
  <c r="C103" i="6" a="1"/>
  <c r="C103" i="6" s="1"/>
  <c r="M103" i="6" a="1"/>
  <c r="M103" i="6" s="1"/>
  <c r="I93" i="6" a="1"/>
  <c r="I93" i="6" s="1"/>
  <c r="R93" i="6" a="1"/>
  <c r="R93" i="6" s="1"/>
  <c r="M83" i="6" a="1"/>
  <c r="M83" i="6" s="1"/>
  <c r="O86" i="6" a="1"/>
  <c r="O86" i="6" s="1"/>
  <c r="T14" i="6"/>
  <c r="U15" i="6" s="1"/>
  <c r="V15" i="6" s="1"/>
  <c r="D23" i="18"/>
  <c r="C15" i="6"/>
  <c r="C47" i="4"/>
  <c r="C95" i="4"/>
  <c r="O53" i="4"/>
  <c r="Q53" i="4"/>
  <c r="F53" i="4"/>
  <c r="H53" i="4"/>
  <c r="G53" i="4"/>
  <c r="K53" i="4"/>
  <c r="M53" i="4"/>
  <c r="P53" i="4"/>
  <c r="J53" i="4"/>
  <c r="E53" i="4"/>
  <c r="N53" i="4"/>
  <c r="I53" i="4"/>
  <c r="R53" i="4"/>
  <c r="L53" i="4"/>
  <c r="G82" i="4"/>
  <c r="G47" i="4"/>
  <c r="H82" i="4"/>
  <c r="H47" i="4"/>
  <c r="E82" i="4"/>
  <c r="E47" i="4"/>
  <c r="F82" i="4"/>
  <c r="F47" i="4"/>
  <c r="D82" i="4"/>
  <c r="D47" i="4"/>
  <c r="C60" i="4"/>
  <c r="C82" i="4"/>
  <c r="J41" i="16"/>
  <c r="E25" i="18" s="1"/>
  <c r="D53" i="4"/>
  <c r="C88" i="4"/>
  <c r="C34" i="4"/>
  <c r="H17" i="5"/>
  <c r="H18" i="5"/>
  <c r="H19" i="5"/>
  <c r="H21" i="5"/>
  <c r="H20" i="5"/>
  <c r="H34" i="5"/>
  <c r="H36" i="5"/>
  <c r="H37" i="5"/>
  <c r="H35" i="5"/>
  <c r="H41" i="16"/>
  <c r="C25" i="18" s="1"/>
  <c r="K41" i="16"/>
  <c r="F25" i="18" s="1"/>
  <c r="H21" i="16"/>
  <c r="J21" i="16"/>
  <c r="C8" i="4"/>
  <c r="D8" i="4"/>
  <c r="E8" i="4"/>
  <c r="F8" i="4"/>
  <c r="H8" i="4"/>
  <c r="G8" i="4"/>
  <c r="G60" i="4"/>
  <c r="G68" i="4" s="1"/>
  <c r="G34" i="4"/>
  <c r="D34" i="4"/>
  <c r="D60" i="4"/>
  <c r="D69" i="4" s="1"/>
  <c r="H34" i="4"/>
  <c r="H60" i="4"/>
  <c r="H67" i="4" s="1"/>
  <c r="E34" i="4"/>
  <c r="E60" i="4"/>
  <c r="E68" i="4" s="1"/>
  <c r="F60" i="4"/>
  <c r="F69" i="4" s="1"/>
  <c r="F34" i="4"/>
  <c r="J73" i="5"/>
  <c r="G44" i="5" s="1"/>
  <c r="G45" i="5" s="1"/>
  <c r="H33" i="5" s="1"/>
  <c r="K21" i="16"/>
  <c r="J16" i="16"/>
  <c r="N13" i="12"/>
  <c r="N41" i="12"/>
  <c r="N39" i="12"/>
  <c r="N37" i="12"/>
  <c r="N35" i="12"/>
  <c r="N33" i="12"/>
  <c r="N31" i="12"/>
  <c r="N29" i="12"/>
  <c r="N27" i="12"/>
  <c r="N25" i="12"/>
  <c r="N23" i="12"/>
  <c r="N21" i="12"/>
  <c r="N19" i="12"/>
  <c r="N17" i="12"/>
  <c r="N8" i="12"/>
  <c r="N40" i="12"/>
  <c r="N38" i="12"/>
  <c r="N36" i="12"/>
  <c r="N34" i="12"/>
  <c r="N32" i="12"/>
  <c r="N30" i="12"/>
  <c r="N28" i="12"/>
  <c r="N24" i="12"/>
  <c r="N22" i="12"/>
  <c r="N20" i="12"/>
  <c r="N18" i="12"/>
  <c r="N16" i="12"/>
  <c r="N7" i="12"/>
  <c r="N12" i="12"/>
  <c r="N11" i="12"/>
  <c r="N10" i="12"/>
  <c r="N14" i="12"/>
  <c r="N9" i="12"/>
  <c r="N15" i="12"/>
  <c r="O6" i="12"/>
  <c r="M42" i="12"/>
  <c r="C16" i="4" a="1"/>
  <c r="E37" i="6" l="1"/>
  <c r="R42" i="6"/>
  <c r="O42" i="6"/>
  <c r="D47" i="6"/>
  <c r="R37" i="6"/>
  <c r="J38" i="6"/>
  <c r="O47" i="6"/>
  <c r="Q37" i="6"/>
  <c r="I38" i="6"/>
  <c r="M46" i="6"/>
  <c r="R46" i="6"/>
  <c r="F45" i="6"/>
  <c r="H44" i="6"/>
  <c r="G47" i="6"/>
  <c r="G41" i="6"/>
  <c r="W107" i="6"/>
  <c r="Y107" i="6" s="1"/>
  <c r="Z107" i="6" s="1"/>
  <c r="Q36" i="6"/>
  <c r="O37" i="6"/>
  <c r="G43" i="6"/>
  <c r="K38" i="6"/>
  <c r="M42" i="6"/>
  <c r="E45" i="6"/>
  <c r="M45" i="6"/>
  <c r="I37" i="6"/>
  <c r="M41" i="6"/>
  <c r="R43" i="6"/>
  <c r="I43" i="6"/>
  <c r="P36" i="6"/>
  <c r="L45" i="6"/>
  <c r="M39" i="6"/>
  <c r="I36" i="6"/>
  <c r="M40" i="6"/>
  <c r="E38" i="6"/>
  <c r="W64" i="6"/>
  <c r="Y64" i="6" s="1"/>
  <c r="Z64" i="6" s="1"/>
  <c r="P44" i="6"/>
  <c r="M36" i="6"/>
  <c r="J44" i="6"/>
  <c r="H39" i="6"/>
  <c r="K37" i="6"/>
  <c r="L42" i="6"/>
  <c r="K45" i="6"/>
  <c r="J39" i="6"/>
  <c r="N43" i="6"/>
  <c r="F39" i="6"/>
  <c r="D43" i="6"/>
  <c r="I41" i="6"/>
  <c r="K42" i="6"/>
  <c r="W61" i="6"/>
  <c r="Y61" i="6" s="1"/>
  <c r="Z61" i="6" s="1"/>
  <c r="W104" i="6"/>
  <c r="Y104" i="6" s="1"/>
  <c r="Z104" i="6" s="1"/>
  <c r="W80" i="6"/>
  <c r="Y80" i="6" s="1"/>
  <c r="Z80" i="6" s="1"/>
  <c r="W66" i="6"/>
  <c r="Y66" i="6" s="1"/>
  <c r="Z66" i="6" s="1"/>
  <c r="W87" i="6"/>
  <c r="Y87" i="6" s="1"/>
  <c r="Z87" i="6" s="1"/>
  <c r="F41" i="6"/>
  <c r="E36" i="6"/>
  <c r="P45" i="6"/>
  <c r="P47" i="6"/>
  <c r="O45" i="6"/>
  <c r="W96" i="6"/>
  <c r="Y96" i="6" s="1"/>
  <c r="Z96" i="6" s="1"/>
  <c r="Q47" i="6"/>
  <c r="D36" i="6"/>
  <c r="M43" i="6"/>
  <c r="Q45" i="6"/>
  <c r="O44" i="6"/>
  <c r="J45" i="6"/>
  <c r="H37" i="6"/>
  <c r="W85" i="6"/>
  <c r="Y85" i="6" s="1"/>
  <c r="Z85" i="6" s="1"/>
  <c r="H42" i="6"/>
  <c r="L47" i="6"/>
  <c r="R47" i="6"/>
  <c r="H36" i="6"/>
  <c r="W59" i="6"/>
  <c r="Y59" i="6" s="1"/>
  <c r="Z59" i="6" s="1"/>
  <c r="F42" i="6"/>
  <c r="F44" i="6"/>
  <c r="E47" i="6"/>
  <c r="C44" i="6"/>
  <c r="K39" i="6"/>
  <c r="M47" i="6"/>
  <c r="P42" i="6"/>
  <c r="E43" i="6"/>
  <c r="G40" i="6"/>
  <c r="N36" i="6"/>
  <c r="Q39" i="6"/>
  <c r="R36" i="6"/>
  <c r="N41" i="6"/>
  <c r="M37" i="6"/>
  <c r="N42" i="6"/>
  <c r="D42" i="6"/>
  <c r="D41" i="6"/>
  <c r="J37" i="6"/>
  <c r="I47" i="6"/>
  <c r="W89" i="6"/>
  <c r="Y89" i="6" s="1"/>
  <c r="Z89" i="6" s="1"/>
  <c r="W101" i="6"/>
  <c r="Y101" i="6" s="1"/>
  <c r="Z101" i="6" s="1"/>
  <c r="R44" i="6"/>
  <c r="O36" i="6"/>
  <c r="L43" i="6"/>
  <c r="M38" i="6"/>
  <c r="J46" i="6"/>
  <c r="J40" i="6"/>
  <c r="I42" i="6"/>
  <c r="L41" i="6"/>
  <c r="F36" i="6"/>
  <c r="N37" i="6"/>
  <c r="P43" i="6"/>
  <c r="P39" i="6"/>
  <c r="L36" i="6"/>
  <c r="G44" i="6"/>
  <c r="G39" i="6"/>
  <c r="Q38" i="6"/>
  <c r="L39" i="6"/>
  <c r="N44" i="6"/>
  <c r="N39" i="6"/>
  <c r="L38" i="6"/>
  <c r="R41" i="6"/>
  <c r="O43" i="6"/>
  <c r="D44" i="6"/>
  <c r="J36" i="6"/>
  <c r="F40" i="6"/>
  <c r="H43" i="6"/>
  <c r="K36" i="6"/>
  <c r="N40" i="6"/>
  <c r="Q41" i="6"/>
  <c r="W100" i="6"/>
  <c r="Y100" i="6" s="1"/>
  <c r="Z100" i="6" s="1"/>
  <c r="H45" i="6"/>
  <c r="W81" i="6"/>
  <c r="Y81" i="6" s="1"/>
  <c r="Z81" i="6" s="1"/>
  <c r="W70" i="6"/>
  <c r="Y70" i="6" s="1"/>
  <c r="Z70" i="6" s="1"/>
  <c r="W74" i="6"/>
  <c r="Y74" i="6" s="1"/>
  <c r="Z74" i="6" s="1"/>
  <c r="L46" i="6"/>
  <c r="I44" i="6"/>
  <c r="I39" i="6"/>
  <c r="G36" i="6"/>
  <c r="N38" i="6"/>
  <c r="W76" i="6"/>
  <c r="Y76" i="6" s="1"/>
  <c r="Z76" i="6" s="1"/>
  <c r="W97" i="6"/>
  <c r="Y97" i="6" s="1"/>
  <c r="Z97" i="6" s="1"/>
  <c r="W60" i="6"/>
  <c r="Y60" i="6" s="1"/>
  <c r="Z60" i="6" s="1"/>
  <c r="W106" i="6"/>
  <c r="Y106" i="6" s="1"/>
  <c r="Z106" i="6" s="1"/>
  <c r="N45" i="6"/>
  <c r="W77" i="6"/>
  <c r="Y77" i="6" s="1"/>
  <c r="Z77" i="6" s="1"/>
  <c r="D45" i="6"/>
  <c r="K47" i="6"/>
  <c r="W88" i="6"/>
  <c r="Y88" i="6" s="1"/>
  <c r="Z88" i="6" s="1"/>
  <c r="O46" i="6"/>
  <c r="W103" i="6"/>
  <c r="Y103" i="6" s="1"/>
  <c r="Z103" i="6" s="1"/>
  <c r="K43" i="6"/>
  <c r="W75" i="6"/>
  <c r="Y75" i="6" s="1"/>
  <c r="Z75" i="6" s="1"/>
  <c r="W68" i="6"/>
  <c r="Y68" i="6" s="1"/>
  <c r="Z68" i="6" s="1"/>
  <c r="H40" i="6"/>
  <c r="W63" i="6"/>
  <c r="Y63" i="6" s="1"/>
  <c r="Z63" i="6" s="1"/>
  <c r="W78" i="6"/>
  <c r="Y78" i="6" s="1"/>
  <c r="Z78" i="6" s="1"/>
  <c r="W82" i="6"/>
  <c r="Y82" i="6" s="1"/>
  <c r="Z82" i="6" s="1"/>
  <c r="W91" i="6"/>
  <c r="Y91" i="6" s="1"/>
  <c r="Z91" i="6" s="1"/>
  <c r="W83" i="6"/>
  <c r="Y83" i="6" s="1"/>
  <c r="Z83" i="6" s="1"/>
  <c r="M44" i="6"/>
  <c r="G46" i="6"/>
  <c r="R40" i="6"/>
  <c r="O38" i="6"/>
  <c r="P38" i="6"/>
  <c r="F37" i="6"/>
  <c r="D39" i="6"/>
  <c r="G37" i="6"/>
  <c r="W92" i="6"/>
  <c r="Y92" i="6" s="1"/>
  <c r="Z92" i="6" s="1"/>
  <c r="G45" i="6"/>
  <c r="W94" i="6"/>
  <c r="Y94" i="6" s="1"/>
  <c r="Z94" i="6" s="1"/>
  <c r="W73" i="6"/>
  <c r="Y73" i="6" s="1"/>
  <c r="Z73" i="6" s="1"/>
  <c r="J47" i="6"/>
  <c r="W72" i="6"/>
  <c r="Y72" i="6" s="1"/>
  <c r="Z72" i="6" s="1"/>
  <c r="G42" i="6"/>
  <c r="W95" i="6"/>
  <c r="Y95" i="6" s="1"/>
  <c r="Z95" i="6" s="1"/>
  <c r="C41" i="6"/>
  <c r="W57" i="6"/>
  <c r="Y57" i="6" s="1"/>
  <c r="Z57" i="6" s="1"/>
  <c r="Q42" i="6"/>
  <c r="W62" i="6"/>
  <c r="Y62" i="6" s="1"/>
  <c r="Z62" i="6" s="1"/>
  <c r="R45" i="6"/>
  <c r="N47" i="6"/>
  <c r="E39" i="6"/>
  <c r="I45" i="6"/>
  <c r="O40" i="6"/>
  <c r="L40" i="6"/>
  <c r="C37" i="6"/>
  <c r="F38" i="6"/>
  <c r="F47" i="6"/>
  <c r="H41" i="6"/>
  <c r="W65" i="6"/>
  <c r="Y65" i="6" s="1"/>
  <c r="Z65" i="6" s="1"/>
  <c r="J42" i="6"/>
  <c r="G38" i="6"/>
  <c r="L44" i="6"/>
  <c r="I46" i="6"/>
  <c r="J43" i="6"/>
  <c r="C43" i="6"/>
  <c r="C47" i="6"/>
  <c r="K41" i="6"/>
  <c r="K46" i="6"/>
  <c r="W98" i="6"/>
  <c r="Y98" i="6" s="1"/>
  <c r="Z98" i="6" s="1"/>
  <c r="O39" i="6"/>
  <c r="C42" i="6"/>
  <c r="S105" i="6"/>
  <c r="W71" i="6"/>
  <c r="Y71" i="6" s="1"/>
  <c r="Z71" i="6" s="1"/>
  <c r="W67" i="6"/>
  <c r="Y67" i="6" s="1"/>
  <c r="Z67" i="6" s="1"/>
  <c r="D38" i="6"/>
  <c r="P41" i="6"/>
  <c r="Q44" i="6"/>
  <c r="N46" i="6"/>
  <c r="K40" i="6"/>
  <c r="W105" i="6"/>
  <c r="Y105" i="6" s="1"/>
  <c r="Z105" i="6" s="1"/>
  <c r="S103" i="6"/>
  <c r="W99" i="6"/>
  <c r="Y99" i="6" s="1"/>
  <c r="Z99" i="6" s="1"/>
  <c r="W93" i="6"/>
  <c r="Y93" i="6" s="1"/>
  <c r="Z93" i="6" s="1"/>
  <c r="W84" i="6"/>
  <c r="Y84" i="6" s="1"/>
  <c r="Z84" i="6" s="1"/>
  <c r="E42" i="6"/>
  <c r="K44" i="6"/>
  <c r="R38" i="6"/>
  <c r="C36" i="6"/>
  <c r="D37" i="6"/>
  <c r="S106" i="6"/>
  <c r="W102" i="6"/>
  <c r="Y102" i="6" s="1"/>
  <c r="Z102" i="6" s="1"/>
  <c r="E40" i="6"/>
  <c r="F46" i="6"/>
  <c r="P37" i="6"/>
  <c r="L37" i="6"/>
  <c r="E44" i="6"/>
  <c r="W58" i="6"/>
  <c r="Y58" i="6" s="1"/>
  <c r="Z58" i="6" s="1"/>
  <c r="E41" i="6"/>
  <c r="Q43" i="6"/>
  <c r="P46" i="6"/>
  <c r="P40" i="6"/>
  <c r="F43" i="6"/>
  <c r="H47" i="6"/>
  <c r="C45" i="6"/>
  <c r="W90" i="6"/>
  <c r="Y90" i="6" s="1"/>
  <c r="Z90" i="6" s="1"/>
  <c r="W86" i="6"/>
  <c r="Y86" i="6" s="1"/>
  <c r="Z86" i="6" s="1"/>
  <c r="W79" i="6"/>
  <c r="Y79" i="6" s="1"/>
  <c r="Z79" i="6" s="1"/>
  <c r="H38" i="6"/>
  <c r="Q40" i="6"/>
  <c r="D46" i="6"/>
  <c r="R39" i="6"/>
  <c r="I40" i="6"/>
  <c r="E46" i="6"/>
  <c r="D40" i="6"/>
  <c r="O41" i="6"/>
  <c r="Q46" i="6"/>
  <c r="S65" i="6"/>
  <c r="S91" i="6"/>
  <c r="S69" i="6"/>
  <c r="C46" i="6"/>
  <c r="S107" i="6"/>
  <c r="S64" i="6"/>
  <c r="S83" i="6"/>
  <c r="S97" i="6"/>
  <c r="S81" i="6"/>
  <c r="G109" i="6"/>
  <c r="G110" i="6" s="1"/>
  <c r="S63" i="6"/>
  <c r="J41" i="6"/>
  <c r="C39" i="6"/>
  <c r="K109" i="6"/>
  <c r="K110" i="6" s="1"/>
  <c r="S66" i="6"/>
  <c r="S88" i="6"/>
  <c r="S100" i="6"/>
  <c r="E109" i="6"/>
  <c r="E110" i="6" s="1"/>
  <c r="O109" i="6"/>
  <c r="O110" i="6" s="1"/>
  <c r="S89" i="6"/>
  <c r="S96" i="6"/>
  <c r="S93" i="6"/>
  <c r="S94" i="6"/>
  <c r="S95" i="6"/>
  <c r="J109" i="6"/>
  <c r="J110" i="6" s="1"/>
  <c r="D109" i="6"/>
  <c r="D110" i="6" s="1"/>
  <c r="S59" i="6"/>
  <c r="S73" i="6"/>
  <c r="S72" i="6"/>
  <c r="R109" i="6"/>
  <c r="R110" i="6" s="1"/>
  <c r="S71" i="6"/>
  <c r="S60" i="6"/>
  <c r="S98" i="6"/>
  <c r="S61" i="6"/>
  <c r="S80" i="6"/>
  <c r="H109" i="6"/>
  <c r="H110" i="6" s="1"/>
  <c r="W69" i="6"/>
  <c r="Y69" i="6" s="1"/>
  <c r="Z69" i="6" s="1"/>
  <c r="S90" i="6"/>
  <c r="M109" i="6"/>
  <c r="M110" i="6" s="1"/>
  <c r="S78" i="6"/>
  <c r="S62" i="6"/>
  <c r="S99" i="6"/>
  <c r="S57" i="6"/>
  <c r="S79" i="6"/>
  <c r="S74" i="6"/>
  <c r="H46" i="6"/>
  <c r="S86" i="6"/>
  <c r="S85" i="6"/>
  <c r="S84" i="6"/>
  <c r="L109" i="6"/>
  <c r="L110" i="6" s="1"/>
  <c r="F109" i="6"/>
  <c r="F110" i="6" s="1"/>
  <c r="S58" i="6"/>
  <c r="C109" i="6"/>
  <c r="C110" i="6" s="1"/>
  <c r="S56" i="6"/>
  <c r="S75" i="6"/>
  <c r="C40" i="6"/>
  <c r="S102" i="6"/>
  <c r="S87" i="6"/>
  <c r="P109" i="6"/>
  <c r="P110" i="6" s="1"/>
  <c r="I109" i="6"/>
  <c r="I110" i="6" s="1"/>
  <c r="N109" i="6"/>
  <c r="N110" i="6" s="1"/>
  <c r="S101" i="6"/>
  <c r="S68" i="6"/>
  <c r="C38" i="6"/>
  <c r="S104" i="6"/>
  <c r="S92" i="6"/>
  <c r="S70" i="6"/>
  <c r="S76" i="6"/>
  <c r="Q109" i="6"/>
  <c r="Q110" i="6" s="1"/>
  <c r="S67" i="6"/>
  <c r="S82" i="6"/>
  <c r="S77" i="6"/>
  <c r="Y56" i="6"/>
  <c r="Z56" i="6" s="1"/>
  <c r="T15" i="6"/>
  <c r="E23" i="18"/>
  <c r="C23" i="18"/>
  <c r="F23" i="18"/>
  <c r="P75" i="4"/>
  <c r="M75" i="4"/>
  <c r="L75" i="4"/>
  <c r="K75" i="4"/>
  <c r="R75" i="4"/>
  <c r="G75" i="4"/>
  <c r="I75" i="4"/>
  <c r="H75" i="4"/>
  <c r="N75" i="4"/>
  <c r="N88" i="4" s="1"/>
  <c r="F75" i="4"/>
  <c r="E75" i="4"/>
  <c r="Q75" i="4"/>
  <c r="J75" i="4"/>
  <c r="J88" i="4" s="1"/>
  <c r="O75" i="4"/>
  <c r="C16" i="4"/>
  <c r="C4" i="39" a="1"/>
  <c r="C4" i="39" s="1"/>
  <c r="B4" i="39" a="1"/>
  <c r="U95" i="4"/>
  <c r="D97" i="4" s="1"/>
  <c r="U82" i="4"/>
  <c r="D75" i="4"/>
  <c r="U60" i="4"/>
  <c r="U47" i="4"/>
  <c r="U34" i="4"/>
  <c r="F67" i="4"/>
  <c r="G67" i="4"/>
  <c r="D67" i="4"/>
  <c r="G69" i="4"/>
  <c r="F68" i="4"/>
  <c r="D68" i="4"/>
  <c r="H69" i="4"/>
  <c r="H68" i="4"/>
  <c r="E67" i="4"/>
  <c r="E69" i="4"/>
  <c r="H44" i="5"/>
  <c r="G46" i="5"/>
  <c r="H45" i="5"/>
  <c r="H43" i="5"/>
  <c r="K16" i="16"/>
  <c r="N42" i="12"/>
  <c r="H71" i="16" s="1"/>
  <c r="C31" i="18" s="1"/>
  <c r="C56" i="18" s="1"/>
  <c r="C57" i="18" s="1"/>
  <c r="O15" i="12"/>
  <c r="O12" i="12"/>
  <c r="O10" i="12"/>
  <c r="O11" i="12"/>
  <c r="O9" i="12"/>
  <c r="P6" i="12"/>
  <c r="O41" i="12"/>
  <c r="O40" i="12"/>
  <c r="O25" i="12"/>
  <c r="O24" i="12"/>
  <c r="O8" i="12"/>
  <c r="O7" i="12"/>
  <c r="O27" i="12"/>
  <c r="O26" i="12"/>
  <c r="O14" i="12"/>
  <c r="O13" i="12"/>
  <c r="O29" i="12"/>
  <c r="O28" i="12"/>
  <c r="O31" i="12"/>
  <c r="O30" i="12"/>
  <c r="O33" i="12"/>
  <c r="O32" i="12"/>
  <c r="O17" i="12"/>
  <c r="O16" i="12"/>
  <c r="O37" i="12"/>
  <c r="O36" i="12"/>
  <c r="O21" i="12"/>
  <c r="O20" i="12"/>
  <c r="O39" i="12"/>
  <c r="O38" i="12"/>
  <c r="O23" i="12"/>
  <c r="O22" i="12"/>
  <c r="O35" i="12"/>
  <c r="O19" i="12"/>
  <c r="O34" i="12"/>
  <c r="O18" i="12"/>
  <c r="C17" i="4" a="1"/>
  <c r="E12" i="4" a="1"/>
  <c r="E13" i="4" a="1"/>
  <c r="C18" i="4" a="1"/>
  <c r="C11" i="4" a="1"/>
  <c r="G13" i="4" a="1"/>
  <c r="G12" i="4" a="1"/>
  <c r="S36" i="6" l="1"/>
  <c r="S47" i="6"/>
  <c r="S42" i="6"/>
  <c r="T36" i="6"/>
  <c r="V36" i="6" s="1"/>
  <c r="W36" i="6" s="1"/>
  <c r="S43" i="6"/>
  <c r="T45" i="6"/>
  <c r="S44" i="6"/>
  <c r="T42" i="6"/>
  <c r="V42" i="6" s="1"/>
  <c r="W42" i="6" s="1"/>
  <c r="T37" i="6"/>
  <c r="V37" i="6" s="1"/>
  <c r="W37" i="6" s="1"/>
  <c r="T44" i="6"/>
  <c r="S37" i="6"/>
  <c r="T47" i="6"/>
  <c r="V47" i="6" s="1"/>
  <c r="W47" i="6" s="1"/>
  <c r="W109" i="6"/>
  <c r="W110" i="6" s="1"/>
  <c r="S41" i="6"/>
  <c r="T43" i="6"/>
  <c r="V43" i="6" s="1"/>
  <c r="W43" i="6" s="1"/>
  <c r="S45" i="6"/>
  <c r="S39" i="6"/>
  <c r="T39" i="6"/>
  <c r="T41" i="6"/>
  <c r="S38" i="6"/>
  <c r="T38" i="6"/>
  <c r="S40" i="6"/>
  <c r="T40" i="6"/>
  <c r="S46" i="6"/>
  <c r="T46" i="6"/>
  <c r="B7" i="48"/>
  <c r="A5" i="48"/>
  <c r="B5" i="48"/>
  <c r="A3" i="48"/>
  <c r="B4" i="48"/>
  <c r="B3" i="48"/>
  <c r="A6" i="48"/>
  <c r="B6" i="48"/>
  <c r="A4" i="48"/>
  <c r="A7" i="48"/>
  <c r="L41" i="12"/>
  <c r="L33" i="12"/>
  <c r="L25" i="12"/>
  <c r="L17" i="12"/>
  <c r="L9" i="12"/>
  <c r="L22" i="12"/>
  <c r="L21" i="12"/>
  <c r="L20" i="12"/>
  <c r="L19" i="12"/>
  <c r="L18" i="12"/>
  <c r="L40" i="12"/>
  <c r="L32" i="12"/>
  <c r="L24" i="12"/>
  <c r="L16" i="12"/>
  <c r="L8" i="12"/>
  <c r="L30" i="12"/>
  <c r="L37" i="12"/>
  <c r="L13" i="12"/>
  <c r="L28" i="12"/>
  <c r="L27" i="12"/>
  <c r="L34" i="12"/>
  <c r="L39" i="12"/>
  <c r="L31" i="12"/>
  <c r="L23" i="12"/>
  <c r="L15" i="12"/>
  <c r="L7" i="12"/>
  <c r="L38" i="12"/>
  <c r="L14" i="12"/>
  <c r="L29" i="12"/>
  <c r="L36" i="12"/>
  <c r="L12" i="12"/>
  <c r="L35" i="12"/>
  <c r="L11" i="12"/>
  <c r="L26" i="12"/>
  <c r="L10" i="12"/>
  <c r="M88" i="4"/>
  <c r="K88" i="4"/>
  <c r="L88" i="4"/>
  <c r="O88" i="4"/>
  <c r="F88" i="4"/>
  <c r="G88" i="4"/>
  <c r="E88" i="4"/>
  <c r="I88" i="4"/>
  <c r="Q88" i="4"/>
  <c r="R88" i="4"/>
  <c r="P88" i="4"/>
  <c r="H88" i="4"/>
  <c r="C18" i="4"/>
  <c r="C17" i="4"/>
  <c r="C11" i="4"/>
  <c r="C5" i="32"/>
  <c r="C6" i="32"/>
  <c r="B5" i="32"/>
  <c r="B6" i="32"/>
  <c r="B4" i="39"/>
  <c r="D4" i="39" a="1"/>
  <c r="A4" i="39" a="1"/>
  <c r="A4" i="39" s="1"/>
  <c r="H97" i="4"/>
  <c r="F97" i="4"/>
  <c r="E97" i="4"/>
  <c r="G97" i="4"/>
  <c r="L97" i="4"/>
  <c r="R97" i="4"/>
  <c r="P97" i="4"/>
  <c r="Q97" i="4"/>
  <c r="O97" i="4"/>
  <c r="K97" i="4"/>
  <c r="J97" i="4"/>
  <c r="N97" i="4"/>
  <c r="I97" i="4"/>
  <c r="M97" i="4"/>
  <c r="U92" i="4"/>
  <c r="C97" i="4"/>
  <c r="V82" i="4"/>
  <c r="U79" i="4"/>
  <c r="D88" i="4"/>
  <c r="U57" i="4"/>
  <c r="H62" i="4"/>
  <c r="U44" i="4"/>
  <c r="U31" i="4"/>
  <c r="E49" i="4"/>
  <c r="H49" i="4"/>
  <c r="G49" i="4"/>
  <c r="F62" i="4"/>
  <c r="F12" i="18"/>
  <c r="C84" i="4"/>
  <c r="L49" i="4"/>
  <c r="M49" i="4"/>
  <c r="P49" i="4"/>
  <c r="C49" i="4"/>
  <c r="N49" i="4"/>
  <c r="D12" i="18"/>
  <c r="Q49" i="4"/>
  <c r="O49" i="4"/>
  <c r="K49" i="4"/>
  <c r="J49" i="4"/>
  <c r="I49" i="4"/>
  <c r="R49" i="4"/>
  <c r="F49" i="4"/>
  <c r="D49" i="4"/>
  <c r="C12" i="18"/>
  <c r="I36" i="4"/>
  <c r="N36" i="4"/>
  <c r="O36" i="4"/>
  <c r="P36" i="4"/>
  <c r="R36" i="4"/>
  <c r="L36" i="4"/>
  <c r="K36" i="4"/>
  <c r="H36" i="4"/>
  <c r="J36" i="4"/>
  <c r="M36" i="4"/>
  <c r="D36" i="4"/>
  <c r="F36" i="4"/>
  <c r="G36" i="4"/>
  <c r="C36" i="4"/>
  <c r="Q36" i="4"/>
  <c r="E62" i="4"/>
  <c r="K62" i="4"/>
  <c r="P62" i="4"/>
  <c r="D62" i="4"/>
  <c r="R62" i="4"/>
  <c r="E12" i="18"/>
  <c r="L62" i="4"/>
  <c r="G62" i="4"/>
  <c r="Q62" i="4"/>
  <c r="M62" i="4"/>
  <c r="N62" i="4"/>
  <c r="J62" i="4"/>
  <c r="O62" i="4"/>
  <c r="I62" i="4"/>
  <c r="C62" i="4"/>
  <c r="E36" i="4"/>
  <c r="E13" i="4"/>
  <c r="E12" i="4"/>
  <c r="G13" i="4"/>
  <c r="G12" i="4"/>
  <c r="G50" i="5"/>
  <c r="G51" i="5" s="1"/>
  <c r="G52" i="5" s="1"/>
  <c r="K50" i="5"/>
  <c r="K51" i="5" s="1"/>
  <c r="K52" i="5" s="1"/>
  <c r="G54" i="5"/>
  <c r="K55" i="5"/>
  <c r="G55" i="5"/>
  <c r="K54" i="5"/>
  <c r="P41" i="12"/>
  <c r="P39" i="12"/>
  <c r="P37" i="12"/>
  <c r="P35" i="12"/>
  <c r="P33" i="12"/>
  <c r="P31" i="12"/>
  <c r="P29" i="12"/>
  <c r="P27" i="12"/>
  <c r="P25" i="12"/>
  <c r="P23" i="12"/>
  <c r="P21" i="12"/>
  <c r="P19" i="12"/>
  <c r="P17" i="12"/>
  <c r="P8" i="12"/>
  <c r="P14" i="12"/>
  <c r="P13" i="12"/>
  <c r="P26" i="12"/>
  <c r="P11" i="12"/>
  <c r="P10" i="12"/>
  <c r="P28" i="12"/>
  <c r="P9" i="12"/>
  <c r="P30" i="12"/>
  <c r="P15" i="12"/>
  <c r="P32" i="12"/>
  <c r="P16" i="12"/>
  <c r="P34" i="12"/>
  <c r="P18" i="12"/>
  <c r="P38" i="12"/>
  <c r="P22" i="12"/>
  <c r="P40" i="12"/>
  <c r="P24" i="12"/>
  <c r="P12" i="12"/>
  <c r="P7" i="12"/>
  <c r="Q6" i="12"/>
  <c r="P36" i="12"/>
  <c r="P20" i="12"/>
  <c r="O42" i="12"/>
  <c r="F13" i="4" a="1"/>
  <c r="C12" i="4" a="1"/>
  <c r="F12" i="4" a="1"/>
  <c r="C21" i="4" a="1"/>
  <c r="C13" i="4" a="1"/>
  <c r="H12" i="4" a="1"/>
  <c r="D13" i="4" a="1"/>
  <c r="H13" i="4" a="1"/>
  <c r="D12" i="4" a="1"/>
  <c r="C20" i="4" a="1"/>
  <c r="C15" i="4" a="1"/>
  <c r="C14" i="4" a="1"/>
  <c r="I71" i="16" l="1"/>
  <c r="D31" i="18" s="1"/>
  <c r="D56" i="18" s="1"/>
  <c r="D57" i="18" s="1"/>
  <c r="U36" i="6"/>
  <c r="U47" i="6"/>
  <c r="U42" i="6"/>
  <c r="V45" i="6"/>
  <c r="W45" i="6" s="1"/>
  <c r="U45" i="6"/>
  <c r="U37" i="6"/>
  <c r="U43" i="6"/>
  <c r="U44" i="6"/>
  <c r="V44" i="6"/>
  <c r="W44" i="6" s="1"/>
  <c r="S49" i="6"/>
  <c r="U40" i="6"/>
  <c r="V40" i="6"/>
  <c r="W40" i="6" s="1"/>
  <c r="V38" i="6"/>
  <c r="W38" i="6" s="1"/>
  <c r="T49" i="6"/>
  <c r="U52" i="6" s="1"/>
  <c r="U38" i="6"/>
  <c r="U41" i="6"/>
  <c r="V41" i="6"/>
  <c r="W41" i="6" s="1"/>
  <c r="V39" i="6"/>
  <c r="W39" i="6" s="1"/>
  <c r="U39" i="6"/>
  <c r="V46" i="6"/>
  <c r="W46" i="6" s="1"/>
  <c r="U46" i="6"/>
  <c r="A2" i="48"/>
  <c r="B2" i="48"/>
  <c r="U80" i="4"/>
  <c r="U93" i="4"/>
  <c r="U32" i="4"/>
  <c r="U58" i="4"/>
  <c r="U45" i="4"/>
  <c r="V60" i="4" s="1"/>
  <c r="C21" i="4"/>
  <c r="C20" i="4"/>
  <c r="C14" i="4"/>
  <c r="C15" i="4"/>
  <c r="B2" i="32"/>
  <c r="C2" i="32"/>
  <c r="D4" i="39"/>
  <c r="E4" i="39" s="1" a="1"/>
  <c r="V92" i="4"/>
  <c r="V79" i="4"/>
  <c r="V57" i="4"/>
  <c r="V44" i="4"/>
  <c r="E96" i="4"/>
  <c r="G96" i="4"/>
  <c r="K53" i="5"/>
  <c r="H13" i="4"/>
  <c r="C12" i="4"/>
  <c r="H12" i="4"/>
  <c r="F13" i="4"/>
  <c r="F12" i="4"/>
  <c r="C13" i="4"/>
  <c r="G53" i="5"/>
  <c r="E61" i="4"/>
  <c r="E71" i="4" s="1"/>
  <c r="E35" i="4"/>
  <c r="E48" i="4"/>
  <c r="E83" i="4"/>
  <c r="G48" i="4"/>
  <c r="G61" i="4"/>
  <c r="G71" i="4" s="1"/>
  <c r="G83" i="4"/>
  <c r="G35" i="4"/>
  <c r="D13" i="4"/>
  <c r="D12" i="4"/>
  <c r="Q12" i="12"/>
  <c r="Q10" i="12"/>
  <c r="Q15" i="12"/>
  <c r="Q28" i="12"/>
  <c r="Q27" i="12"/>
  <c r="Q14" i="12"/>
  <c r="Q13" i="12"/>
  <c r="Q9" i="12"/>
  <c r="Q30" i="12"/>
  <c r="Q29" i="12"/>
  <c r="Q32" i="12"/>
  <c r="Q31" i="12"/>
  <c r="Q16" i="12"/>
  <c r="Q34" i="12"/>
  <c r="Q33" i="12"/>
  <c r="Q18" i="12"/>
  <c r="Q17" i="12"/>
  <c r="Q36" i="12"/>
  <c r="Q35" i="12"/>
  <c r="Q20" i="12"/>
  <c r="Q19" i="12"/>
  <c r="R6" i="12"/>
  <c r="Q40" i="12"/>
  <c r="Q39" i="12"/>
  <c r="Q24" i="12"/>
  <c r="Q23" i="12"/>
  <c r="Q7" i="12"/>
  <c r="Q41" i="12"/>
  <c r="Q26" i="12"/>
  <c r="Q25" i="12"/>
  <c r="Q11" i="12"/>
  <c r="Q8" i="12"/>
  <c r="Q38" i="12"/>
  <c r="Q22" i="12"/>
  <c r="Q21" i="12"/>
  <c r="Q37" i="12"/>
  <c r="L42" i="12"/>
  <c r="P42" i="12"/>
  <c r="J71" i="16" s="1"/>
  <c r="E31" i="18" s="1"/>
  <c r="E56" i="18" s="1"/>
  <c r="E57" i="18" l="1"/>
  <c r="E58" i="18" s="1"/>
  <c r="F18" i="21" a="1"/>
  <c r="U49" i="6"/>
  <c r="C7" i="48"/>
  <c r="C6" i="48"/>
  <c r="C5" i="48"/>
  <c r="C4" i="48"/>
  <c r="C3" i="48"/>
  <c r="D14" i="32"/>
  <c r="C14" i="32"/>
  <c r="B14" i="32"/>
  <c r="V58" i="4"/>
  <c r="V95" i="4"/>
  <c r="V80" i="4"/>
  <c r="V93" i="4"/>
  <c r="E13" i="18"/>
  <c r="V47" i="4"/>
  <c r="F13" i="18"/>
  <c r="C67" i="4"/>
  <c r="C13" i="18"/>
  <c r="C69" i="4"/>
  <c r="U69" i="4" s="1"/>
  <c r="J39" i="16" s="1"/>
  <c r="C68" i="4"/>
  <c r="U68" i="4" s="1"/>
  <c r="E4" i="39"/>
  <c r="G65" i="4"/>
  <c r="G66" i="4" s="1"/>
  <c r="E65" i="4"/>
  <c r="E66" i="4" s="1"/>
  <c r="F96" i="4"/>
  <c r="H96" i="4"/>
  <c r="C35" i="4"/>
  <c r="C96" i="4"/>
  <c r="D96" i="4"/>
  <c r="C48" i="4"/>
  <c r="F83" i="4"/>
  <c r="F48" i="4"/>
  <c r="F61" i="4"/>
  <c r="F71" i="4" s="1"/>
  <c r="F35" i="4"/>
  <c r="C83" i="4"/>
  <c r="C61" i="4"/>
  <c r="H83" i="4"/>
  <c r="H35" i="4"/>
  <c r="H61" i="4"/>
  <c r="H71" i="4" s="1"/>
  <c r="H48" i="4"/>
  <c r="D83" i="4"/>
  <c r="D35" i="4"/>
  <c r="D48" i="4"/>
  <c r="D61" i="4"/>
  <c r="D71" i="4" s="1"/>
  <c r="R14" i="12"/>
  <c r="R40" i="12"/>
  <c r="R38" i="12"/>
  <c r="R36" i="12"/>
  <c r="R34" i="12"/>
  <c r="R32" i="12"/>
  <c r="R30" i="12"/>
  <c r="R28" i="12"/>
  <c r="R26" i="12"/>
  <c r="R24" i="12"/>
  <c r="R22" i="12"/>
  <c r="R20" i="12"/>
  <c r="R18" i="12"/>
  <c r="R16" i="12"/>
  <c r="R7" i="12"/>
  <c r="R41" i="12"/>
  <c r="R39" i="12"/>
  <c r="R37" i="12"/>
  <c r="R35" i="12"/>
  <c r="R33" i="12"/>
  <c r="R31" i="12"/>
  <c r="R29" i="12"/>
  <c r="R27" i="12"/>
  <c r="R25" i="12"/>
  <c r="R23" i="12"/>
  <c r="R21" i="12"/>
  <c r="R19" i="12"/>
  <c r="R17" i="12"/>
  <c r="R8" i="12"/>
  <c r="R15" i="12"/>
  <c r="S6" i="12"/>
  <c r="R12" i="12"/>
  <c r="R11" i="12"/>
  <c r="R13" i="12"/>
  <c r="R10" i="12"/>
  <c r="R9" i="12"/>
  <c r="Q42" i="12"/>
  <c r="K71" i="16" s="1"/>
  <c r="E43" i="12"/>
  <c r="O27" i="21" l="1"/>
  <c r="F18" i="21"/>
  <c r="M27" i="21"/>
  <c r="L27" i="21"/>
  <c r="G27" i="21"/>
  <c r="N27" i="21"/>
  <c r="Q27" i="21"/>
  <c r="K27" i="21"/>
  <c r="I27" i="21"/>
  <c r="J27" i="21"/>
  <c r="H27" i="21"/>
  <c r="P27" i="21"/>
  <c r="C2" i="48"/>
  <c r="I39" i="16"/>
  <c r="H39" i="16" s="1"/>
  <c r="H36" i="16" s="1"/>
  <c r="H30" i="16" s="1"/>
  <c r="J36" i="16"/>
  <c r="J30" i="16" s="1"/>
  <c r="K39" i="16"/>
  <c r="K36" i="16" s="1"/>
  <c r="K30" i="16" s="1"/>
  <c r="F24" i="18" s="1"/>
  <c r="C4" i="32"/>
  <c r="B4" i="32"/>
  <c r="C71" i="4"/>
  <c r="G4" i="39" s="1" a="1"/>
  <c r="G4" i="39" s="1"/>
  <c r="U67" i="4"/>
  <c r="F65" i="4"/>
  <c r="F66" i="4" s="1"/>
  <c r="H65" i="4"/>
  <c r="H66" i="4" s="1"/>
  <c r="D65" i="4"/>
  <c r="D66" i="4" s="1"/>
  <c r="U96" i="4"/>
  <c r="U83" i="4"/>
  <c r="U61" i="4"/>
  <c r="U71" i="4" s="1"/>
  <c r="U48" i="4"/>
  <c r="C65" i="4"/>
  <c r="V45" i="4"/>
  <c r="U35" i="4"/>
  <c r="U27" i="4" s="1"/>
  <c r="F31" i="18"/>
  <c r="F56" i="18" s="1"/>
  <c r="F57" i="18" s="1"/>
  <c r="F58" i="18" s="1"/>
  <c r="N84" i="4"/>
  <c r="O84" i="4"/>
  <c r="L84" i="4"/>
  <c r="J84" i="4"/>
  <c r="Q84" i="4"/>
  <c r="F84" i="4"/>
  <c r="P84" i="4"/>
  <c r="R84" i="4"/>
  <c r="M84" i="4"/>
  <c r="I84" i="4"/>
  <c r="H84" i="4"/>
  <c r="D84" i="4"/>
  <c r="E84" i="4"/>
  <c r="G84" i="4"/>
  <c r="K84" i="4"/>
  <c r="S11" i="12"/>
  <c r="S9" i="12"/>
  <c r="T6" i="12"/>
  <c r="S12" i="12"/>
  <c r="S10" i="12"/>
  <c r="S30" i="12"/>
  <c r="S29" i="12"/>
  <c r="S15" i="12"/>
  <c r="S32" i="12"/>
  <c r="S31" i="12"/>
  <c r="S16" i="12"/>
  <c r="S34" i="12"/>
  <c r="S33" i="12"/>
  <c r="S18" i="12"/>
  <c r="S17" i="12"/>
  <c r="S36" i="12"/>
  <c r="S35" i="12"/>
  <c r="S20" i="12"/>
  <c r="S19" i="12"/>
  <c r="S38" i="12"/>
  <c r="S37" i="12"/>
  <c r="S22" i="12"/>
  <c r="S21" i="12"/>
  <c r="S41" i="12"/>
  <c r="S26" i="12"/>
  <c r="S25" i="12"/>
  <c r="S13" i="12"/>
  <c r="S8" i="12"/>
  <c r="S28" i="12"/>
  <c r="S27" i="12"/>
  <c r="S14" i="12"/>
  <c r="S39" i="12"/>
  <c r="S23" i="12"/>
  <c r="S40" i="12"/>
  <c r="S7" i="12"/>
  <c r="S24" i="12"/>
  <c r="R42" i="12"/>
  <c r="F20" i="4" a="1"/>
  <c r="H20" i="4" a="1"/>
  <c r="D21" i="4" a="1"/>
  <c r="D20" i="4" a="1"/>
  <c r="G21" i="4" a="1"/>
  <c r="G20" i="4" a="1"/>
  <c r="E20" i="4" a="1"/>
  <c r="H21" i="4" a="1"/>
  <c r="E21" i="4" a="1"/>
  <c r="F21" i="4" a="1"/>
  <c r="K34" i="21" l="1"/>
  <c r="K26" i="21"/>
  <c r="K33" i="21"/>
  <c r="K32" i="21"/>
  <c r="Q26" i="21"/>
  <c r="Q34" i="21"/>
  <c r="Q32" i="21"/>
  <c r="Q33" i="21"/>
  <c r="N33" i="21"/>
  <c r="N34" i="21"/>
  <c r="N26" i="21"/>
  <c r="N32" i="21"/>
  <c r="G32" i="21"/>
  <c r="G33" i="21"/>
  <c r="G34" i="21"/>
  <c r="G26" i="21"/>
  <c r="P34" i="21"/>
  <c r="P32" i="21"/>
  <c r="P33" i="21"/>
  <c r="P26" i="21"/>
  <c r="L26" i="21"/>
  <c r="L33" i="21"/>
  <c r="L34" i="21"/>
  <c r="L32" i="21"/>
  <c r="H34" i="21"/>
  <c r="H33" i="21"/>
  <c r="H32" i="21"/>
  <c r="H26" i="21"/>
  <c r="M34" i="21"/>
  <c r="M33" i="21"/>
  <c r="M26" i="21"/>
  <c r="M32" i="21"/>
  <c r="J34" i="21"/>
  <c r="J33" i="21"/>
  <c r="J32" i="21"/>
  <c r="J26" i="21"/>
  <c r="F27" i="21"/>
  <c r="F33" i="21" s="1"/>
  <c r="R18" i="21"/>
  <c r="I34" i="21"/>
  <c r="I32" i="21"/>
  <c r="I26" i="21"/>
  <c r="I33" i="21"/>
  <c r="O26" i="21"/>
  <c r="O32" i="21"/>
  <c r="O34" i="21"/>
  <c r="O33" i="21"/>
  <c r="I36" i="16"/>
  <c r="I30" i="16" s="1"/>
  <c r="C24" i="18"/>
  <c r="E24" i="18"/>
  <c r="D12" i="32"/>
  <c r="C12" i="32"/>
  <c r="B12" i="32"/>
  <c r="C66" i="4"/>
  <c r="F4" i="39" s="1" a="1"/>
  <c r="H20" i="4"/>
  <c r="D20" i="4"/>
  <c r="H21" i="4"/>
  <c r="E20" i="4"/>
  <c r="G20" i="4"/>
  <c r="E21" i="4"/>
  <c r="F20" i="4"/>
  <c r="D21" i="4"/>
  <c r="G21" i="4"/>
  <c r="F21" i="4"/>
  <c r="U65" i="4"/>
  <c r="V96" i="4"/>
  <c r="U88" i="4"/>
  <c r="V83" i="4"/>
  <c r="U75" i="4"/>
  <c r="V61" i="4"/>
  <c r="U53" i="4"/>
  <c r="U40" i="4"/>
  <c r="V40" i="4" s="1"/>
  <c r="V48" i="4"/>
  <c r="E14" i="18"/>
  <c r="E16" i="18" s="1"/>
  <c r="E11" i="18" s="1"/>
  <c r="D13" i="18"/>
  <c r="C14" i="18"/>
  <c r="F14" i="18"/>
  <c r="F16" i="18" s="1"/>
  <c r="D14" i="18"/>
  <c r="S42" i="12"/>
  <c r="T40" i="12"/>
  <c r="U40" i="12" s="1"/>
  <c r="V40" i="12" s="1"/>
  <c r="T38" i="12"/>
  <c r="U38" i="12" s="1"/>
  <c r="V38" i="12" s="1"/>
  <c r="T36" i="12"/>
  <c r="U36" i="12" s="1"/>
  <c r="V36" i="12" s="1"/>
  <c r="T34" i="12"/>
  <c r="U34" i="12" s="1"/>
  <c r="V34" i="12" s="1"/>
  <c r="T32" i="12"/>
  <c r="U32" i="12" s="1"/>
  <c r="V32" i="12" s="1"/>
  <c r="T30" i="12"/>
  <c r="U30" i="12" s="1"/>
  <c r="V30" i="12" s="1"/>
  <c r="T28" i="12"/>
  <c r="U28" i="12" s="1"/>
  <c r="V28" i="12" s="1"/>
  <c r="T26" i="12"/>
  <c r="U26" i="12" s="1"/>
  <c r="V26" i="12" s="1"/>
  <c r="T24" i="12"/>
  <c r="U24" i="12" s="1"/>
  <c r="V24" i="12" s="1"/>
  <c r="T22" i="12"/>
  <c r="U22" i="12" s="1"/>
  <c r="V22" i="12" s="1"/>
  <c r="T20" i="12"/>
  <c r="U20" i="12" s="1"/>
  <c r="V20" i="12" s="1"/>
  <c r="T18" i="12"/>
  <c r="U18" i="12" s="1"/>
  <c r="V18" i="12" s="1"/>
  <c r="T16" i="12"/>
  <c r="U16" i="12" s="1"/>
  <c r="V16" i="12" s="1"/>
  <c r="T7" i="12"/>
  <c r="T13" i="12"/>
  <c r="U13" i="12" s="1"/>
  <c r="V13" i="12" s="1"/>
  <c r="T14" i="12"/>
  <c r="U14" i="12" s="1"/>
  <c r="V14" i="12" s="1"/>
  <c r="T31" i="12"/>
  <c r="U31" i="12" s="1"/>
  <c r="V31" i="12" s="1"/>
  <c r="T33" i="12"/>
  <c r="U33" i="12" s="1"/>
  <c r="V33" i="12" s="1"/>
  <c r="T17" i="12"/>
  <c r="U17" i="12" s="1"/>
  <c r="V17" i="12" s="1"/>
  <c r="T35" i="12"/>
  <c r="U35" i="12" s="1"/>
  <c r="V35" i="12" s="1"/>
  <c r="T19" i="12"/>
  <c r="U19" i="12" s="1"/>
  <c r="V19" i="12" s="1"/>
  <c r="U6" i="12"/>
  <c r="T37" i="12"/>
  <c r="U37" i="12" s="1"/>
  <c r="V37" i="12" s="1"/>
  <c r="T21" i="12"/>
  <c r="U21" i="12" s="1"/>
  <c r="V21" i="12" s="1"/>
  <c r="T39" i="12"/>
  <c r="U39" i="12" s="1"/>
  <c r="V39" i="12" s="1"/>
  <c r="T23" i="12"/>
  <c r="U23" i="12" s="1"/>
  <c r="V23" i="12" s="1"/>
  <c r="T27" i="12"/>
  <c r="U27" i="12" s="1"/>
  <c r="V27" i="12" s="1"/>
  <c r="T10" i="12"/>
  <c r="U10" i="12" s="1"/>
  <c r="V10" i="12" s="1"/>
  <c r="T9" i="12"/>
  <c r="U9" i="12" s="1"/>
  <c r="V9" i="12" s="1"/>
  <c r="T29" i="12"/>
  <c r="U29" i="12" s="1"/>
  <c r="V29" i="12" s="1"/>
  <c r="T15" i="12"/>
  <c r="T8" i="12"/>
  <c r="U8" i="12" s="1"/>
  <c r="V8" i="12" s="1"/>
  <c r="T12" i="12"/>
  <c r="U12" i="12" s="1"/>
  <c r="V12" i="12" s="1"/>
  <c r="T25" i="12"/>
  <c r="U25" i="12" s="1"/>
  <c r="V25" i="12" s="1"/>
  <c r="T11" i="12"/>
  <c r="U11" i="12" s="1"/>
  <c r="V11" i="12" s="1"/>
  <c r="T41" i="12"/>
  <c r="U41" i="12" s="1"/>
  <c r="V41" i="12" s="1"/>
  <c r="I36" i="21" l="1"/>
  <c r="M35" i="21"/>
  <c r="N35" i="21"/>
  <c r="J35" i="21"/>
  <c r="H35" i="21"/>
  <c r="P36" i="21"/>
  <c r="O36" i="21"/>
  <c r="Q35" i="21"/>
  <c r="G36" i="21"/>
  <c r="K35" i="21"/>
  <c r="L35" i="21"/>
  <c r="Q36" i="21"/>
  <c r="R32" i="21"/>
  <c r="R33" i="21"/>
  <c r="R34" i="21"/>
  <c r="R27" i="21"/>
  <c r="R26" i="21" s="1"/>
  <c r="M36" i="21"/>
  <c r="L36" i="21"/>
  <c r="O35" i="21"/>
  <c r="F32" i="21"/>
  <c r="F26" i="21"/>
  <c r="F29" i="21" s="1"/>
  <c r="F34" i="21"/>
  <c r="G35" i="21"/>
  <c r="K36" i="21"/>
  <c r="J36" i="21"/>
  <c r="H36" i="21"/>
  <c r="P35" i="21"/>
  <c r="I35" i="21"/>
  <c r="N36" i="21"/>
  <c r="D24" i="18"/>
  <c r="B9" i="32"/>
  <c r="C9" i="32"/>
  <c r="D9" i="32"/>
  <c r="C3" i="32"/>
  <c r="B3" i="32"/>
  <c r="D11" i="32"/>
  <c r="C11" i="32"/>
  <c r="B11" i="32"/>
  <c r="C10" i="32"/>
  <c r="B10" i="32"/>
  <c r="D10" i="32"/>
  <c r="D6" i="32"/>
  <c r="D3" i="32"/>
  <c r="D7" i="32"/>
  <c r="D4" i="32"/>
  <c r="D5" i="32"/>
  <c r="F4" i="39"/>
  <c r="V88" i="4"/>
  <c r="V75" i="4"/>
  <c r="V53" i="4"/>
  <c r="C16" i="18"/>
  <c r="C11" i="18" s="1"/>
  <c r="D16" i="18"/>
  <c r="D11" i="18" s="1"/>
  <c r="F11" i="18"/>
  <c r="U15" i="12"/>
  <c r="V15" i="12" s="1"/>
  <c r="T42" i="12"/>
  <c r="U7" i="12"/>
  <c r="R36" i="21" l="1"/>
  <c r="F70" i="16" s="1"/>
  <c r="I70" i="16" s="1"/>
  <c r="I18" i="16" s="1"/>
  <c r="R35" i="21"/>
  <c r="F35" i="21"/>
  <c r="F36" i="21"/>
  <c r="D2" i="32"/>
  <c r="U42" i="12"/>
  <c r="V42" i="12" s="1"/>
  <c r="B7" i="32"/>
  <c r="C7" i="32"/>
  <c r="D13" i="32"/>
  <c r="C13" i="32"/>
  <c r="B13" i="32"/>
  <c r="V7" i="12"/>
  <c r="H70" i="16" l="1"/>
  <c r="C30" i="18" s="1"/>
  <c r="C35" i="18" s="1"/>
  <c r="J70" i="16"/>
  <c r="E30" i="18" s="1"/>
  <c r="E35" i="18" s="1"/>
  <c r="E37" i="18" s="1"/>
  <c r="D30" i="18"/>
  <c r="D35" i="18" s="1"/>
  <c r="D42" i="18" s="1"/>
  <c r="D43" i="18" s="1"/>
  <c r="B8" i="32"/>
  <c r="D8" i="32"/>
  <c r="C8" i="32"/>
  <c r="C37" i="18" l="1"/>
  <c r="C38" i="18" s="1"/>
  <c r="C48" i="18" s="1"/>
  <c r="B14" i="27" s="1"/>
  <c r="C42" i="18"/>
  <c r="C43" i="18" s="1"/>
  <c r="E38" i="18"/>
  <c r="E48" i="18" s="1"/>
  <c r="D14" i="27" s="1"/>
  <c r="H18" i="16"/>
  <c r="D37" i="18"/>
  <c r="E42" i="18"/>
  <c r="E43" i="18" s="1"/>
  <c r="J18" i="16"/>
  <c r="K56" i="45" s="1"/>
  <c r="K57" i="45" s="1"/>
  <c r="K70" i="16"/>
  <c r="C22" i="32"/>
  <c r="F6" i="32" s="1"/>
  <c r="C20" i="32"/>
  <c r="C23" i="32"/>
  <c r="F7" i="32" s="1"/>
  <c r="C24" i="32"/>
  <c r="G2" i="32" s="1"/>
  <c r="C21" i="32"/>
  <c r="C25" i="32"/>
  <c r="G3" i="32" s="1"/>
  <c r="D38" i="18" l="1"/>
  <c r="D48" i="18" s="1"/>
  <c r="C14" i="27" s="1"/>
  <c r="G56" i="47"/>
  <c r="G57" i="47" s="1"/>
  <c r="K56" i="46"/>
  <c r="K57" i="46" s="1"/>
  <c r="K56" i="42"/>
  <c r="K57" i="42" s="1"/>
  <c r="G56" i="43"/>
  <c r="G57" i="43" s="1"/>
  <c r="K56" i="44"/>
  <c r="K57" i="44" s="1"/>
  <c r="K56" i="41"/>
  <c r="K57" i="41" s="1"/>
  <c r="K56" i="5"/>
  <c r="K57" i="5" s="1"/>
  <c r="K56" i="43"/>
  <c r="K57" i="43" s="1"/>
  <c r="G56" i="45"/>
  <c r="G57" i="45" s="1"/>
  <c r="K56" i="47"/>
  <c r="K57" i="47" s="1"/>
  <c r="G56" i="44"/>
  <c r="G57" i="44" s="1"/>
  <c r="G56" i="41"/>
  <c r="G57" i="41" s="1"/>
  <c r="G56" i="46"/>
  <c r="G57" i="46" s="1"/>
  <c r="F30" i="18"/>
  <c r="F35" i="18" s="1"/>
  <c r="K18" i="16"/>
  <c r="G56" i="42"/>
  <c r="G57" i="42" s="1"/>
  <c r="G56" i="5"/>
  <c r="G57" i="5" s="1"/>
  <c r="F2" i="32"/>
  <c r="F3" i="32"/>
  <c r="G6" i="32"/>
  <c r="G7" i="32"/>
  <c r="B3" i="27" l="1"/>
  <c r="B4" i="27" s="1"/>
  <c r="F37" i="18"/>
  <c r="F38" i="18" s="1"/>
  <c r="F42" i="18"/>
  <c r="F43" i="18" s="1"/>
  <c r="F48" i="18" l="1"/>
  <c r="E14" i="27" s="1"/>
  <c r="B5" i="27"/>
  <c r="B6" i="27" s="1"/>
  <c r="B8" i="27" s="1"/>
  <c r="C49" i="18" s="1"/>
  <c r="B15" i="27" s="1"/>
  <c r="B16" i="27" l="1"/>
  <c r="B27" i="27" s="1"/>
  <c r="E3" i="27"/>
  <c r="E4" i="27" s="1"/>
  <c r="C3" i="27"/>
  <c r="C5" i="27" s="1"/>
  <c r="D3" i="27"/>
  <c r="D5" i="27" s="1"/>
  <c r="B63" i="27" l="1"/>
  <c r="B25" i="50"/>
  <c r="B26" i="27"/>
  <c r="B14" i="50" s="1"/>
  <c r="B39" i="27"/>
  <c r="B42" i="27" s="1"/>
  <c r="E5" i="27"/>
  <c r="E6" i="27" s="1"/>
  <c r="E8" i="27" s="1"/>
  <c r="F49" i="18" s="1"/>
  <c r="E15" i="27" s="1"/>
  <c r="C4" i="27"/>
  <c r="C6" i="27" s="1"/>
  <c r="C8" i="27" s="1"/>
  <c r="D4" i="27"/>
  <c r="D6" i="27" s="1"/>
  <c r="D8" i="27" s="1"/>
  <c r="Q10" i="21"/>
  <c r="Q29" i="21" s="1"/>
  <c r="I10" i="21"/>
  <c r="I29" i="21" s="1"/>
  <c r="G10" i="21"/>
  <c r="G29" i="21" s="1"/>
  <c r="O10" i="21"/>
  <c r="O29" i="21" s="1"/>
  <c r="J10" i="21"/>
  <c r="J29" i="21" s="1"/>
  <c r="L10" i="21"/>
  <c r="L29" i="21" s="1"/>
  <c r="P10" i="21"/>
  <c r="P29" i="21" s="1"/>
  <c r="H10" i="21"/>
  <c r="H29" i="21" s="1"/>
  <c r="M10" i="21"/>
  <c r="M29" i="21" s="1"/>
  <c r="K10" i="21"/>
  <c r="K29" i="21" s="1"/>
  <c r="N10" i="21"/>
  <c r="N29" i="21" s="1"/>
  <c r="E16" i="27" l="1"/>
  <c r="B30" i="27"/>
  <c r="B33" i="27" s="1"/>
  <c r="B49" i="27"/>
  <c r="B40" i="27"/>
  <c r="B41" i="27"/>
  <c r="B31" i="27"/>
  <c r="B32" i="27"/>
  <c r="E27" i="27"/>
  <c r="E49" i="18"/>
  <c r="D15" i="27" s="1"/>
  <c r="D49" i="18"/>
  <c r="C15" i="27" s="1"/>
  <c r="E63" i="27" l="1"/>
  <c r="E25" i="50"/>
  <c r="C16" i="27"/>
  <c r="C27" i="27" s="1"/>
  <c r="D16" i="27"/>
  <c r="D27" i="27" s="1"/>
  <c r="B43" i="27"/>
  <c r="B34" i="27"/>
  <c r="B35" i="27" s="1"/>
  <c r="B36" i="27" s="1"/>
  <c r="B37" i="27" s="1"/>
  <c r="B15" i="50" s="1"/>
  <c r="E26" i="27"/>
  <c r="E14" i="50" s="1"/>
  <c r="E39" i="27"/>
  <c r="E42" i="27" s="1"/>
  <c r="D63" i="27" l="1"/>
  <c r="D25" i="50"/>
  <c r="C63" i="27"/>
  <c r="C25" i="50"/>
  <c r="B50" i="27"/>
  <c r="B51" i="27" s="1"/>
  <c r="B54" i="27" s="1"/>
  <c r="E30" i="27"/>
  <c r="E32" i="27" s="1"/>
  <c r="E49" i="27"/>
  <c r="B44" i="27"/>
  <c r="B45" i="27" s="1"/>
  <c r="B46" i="27" s="1"/>
  <c r="E40" i="27"/>
  <c r="E41" i="27"/>
  <c r="C26" i="27"/>
  <c r="C14" i="50" s="1"/>
  <c r="C39" i="27"/>
  <c r="C42" i="27" s="1"/>
  <c r="D26" i="27"/>
  <c r="D14" i="50" s="1"/>
  <c r="D39" i="27"/>
  <c r="D42" i="27" s="1"/>
  <c r="B64" i="27" l="1"/>
  <c r="B65" i="27" s="1"/>
  <c r="B68" i="27" s="1"/>
  <c r="B26" i="50"/>
  <c r="B53" i="27"/>
  <c r="B52" i="27"/>
  <c r="B55" i="27"/>
  <c r="B78" i="27"/>
  <c r="C50" i="18" s="1"/>
  <c r="C30" i="27"/>
  <c r="C33" i="27" s="1"/>
  <c r="C49" i="27"/>
  <c r="D30" i="27"/>
  <c r="D33" i="27" s="1"/>
  <c r="D49" i="27"/>
  <c r="E33" i="27"/>
  <c r="E31" i="27"/>
  <c r="E43" i="27"/>
  <c r="C40" i="27"/>
  <c r="C41" i="27"/>
  <c r="D40" i="27"/>
  <c r="D41" i="27"/>
  <c r="B66" i="27" l="1"/>
  <c r="B67" i="27"/>
  <c r="B69" i="27"/>
  <c r="B56" i="27"/>
  <c r="B61" i="27" s="1"/>
  <c r="B16" i="50" s="1"/>
  <c r="B17" i="50" s="1"/>
  <c r="D32" i="27"/>
  <c r="C32" i="27"/>
  <c r="E34" i="27"/>
  <c r="E35" i="27" s="1"/>
  <c r="E36" i="27" s="1"/>
  <c r="E37" i="27" s="1"/>
  <c r="E15" i="50" s="1"/>
  <c r="D31" i="27"/>
  <c r="C31" i="27"/>
  <c r="E44" i="27"/>
  <c r="E45" i="27" s="1"/>
  <c r="E46" i="27" s="1"/>
  <c r="D43" i="27"/>
  <c r="C43" i="27"/>
  <c r="B70" i="27" l="1"/>
  <c r="B75" i="27" s="1"/>
  <c r="B79" i="27" s="1"/>
  <c r="B80" i="27" s="1"/>
  <c r="B81" i="27" s="1"/>
  <c r="B18" i="50"/>
  <c r="E64" i="27"/>
  <c r="E65" i="27" s="1"/>
  <c r="E67" i="27" s="1"/>
  <c r="E26" i="50"/>
  <c r="B19" i="50"/>
  <c r="C34" i="27"/>
  <c r="C35" i="27" s="1"/>
  <c r="C36" i="27" s="1"/>
  <c r="C37" i="27" s="1"/>
  <c r="C15" i="50" s="1"/>
  <c r="D34" i="27"/>
  <c r="D35" i="27" s="1"/>
  <c r="D36" i="27" s="1"/>
  <c r="D37" i="27" s="1"/>
  <c r="D15" i="50" s="1"/>
  <c r="E50" i="27"/>
  <c r="E51" i="27" s="1"/>
  <c r="E52" i="27" s="1"/>
  <c r="E78" i="27"/>
  <c r="F50" i="18" s="1"/>
  <c r="C44" i="27"/>
  <c r="C45" i="27" s="1"/>
  <c r="C46" i="27" s="1"/>
  <c r="D44" i="27"/>
  <c r="D45" i="27" s="1"/>
  <c r="D46" i="27" s="1"/>
  <c r="B27" i="50" l="1"/>
  <c r="B28" i="50" s="1"/>
  <c r="B34" i="50" s="1"/>
  <c r="B35" i="50" s="1"/>
  <c r="E66" i="27"/>
  <c r="E68" i="27"/>
  <c r="E69" i="27"/>
  <c r="C51" i="18"/>
  <c r="B82" i="27"/>
  <c r="C64" i="27"/>
  <c r="C65" i="27" s="1"/>
  <c r="C68" i="27" s="1"/>
  <c r="C26" i="50"/>
  <c r="D64" i="27"/>
  <c r="D65" i="27" s="1"/>
  <c r="D69" i="27" s="1"/>
  <c r="D26" i="50"/>
  <c r="C50" i="27"/>
  <c r="C51" i="27" s="1"/>
  <c r="C54" i="27" s="1"/>
  <c r="D50" i="27"/>
  <c r="D51" i="27" s="1"/>
  <c r="D54" i="27" s="1"/>
  <c r="E54" i="27"/>
  <c r="E55" i="27"/>
  <c r="E53" i="27"/>
  <c r="C78" i="27"/>
  <c r="D50" i="18" s="1"/>
  <c r="D78" i="27"/>
  <c r="E50" i="18" s="1"/>
  <c r="B29" i="50" l="1"/>
  <c r="B30" i="50"/>
  <c r="E70" i="27"/>
  <c r="E75" i="27" s="1"/>
  <c r="E27" i="50" s="1"/>
  <c r="E28" i="50" s="1"/>
  <c r="E29" i="50" s="1"/>
  <c r="C67" i="27"/>
  <c r="C66" i="27"/>
  <c r="D66" i="27"/>
  <c r="C69" i="27"/>
  <c r="D68" i="27"/>
  <c r="D67" i="27"/>
  <c r="C53" i="27"/>
  <c r="D53" i="27"/>
  <c r="C55" i="27"/>
  <c r="D55" i="27"/>
  <c r="C52" i="27"/>
  <c r="D52" i="27"/>
  <c r="E56" i="27"/>
  <c r="E61" i="27" s="1"/>
  <c r="E30" i="50" l="1"/>
  <c r="C70" i="27"/>
  <c r="C75" i="27" s="1"/>
  <c r="C27" i="50" s="1"/>
  <c r="C28" i="50" s="1"/>
  <c r="C29" i="50" s="1"/>
  <c r="D70" i="27"/>
  <c r="D75" i="27" s="1"/>
  <c r="D27" i="50" s="1"/>
  <c r="D28" i="50" s="1"/>
  <c r="D29" i="50" s="1"/>
  <c r="C56" i="27"/>
  <c r="C61" i="27" s="1"/>
  <c r="C16" i="50" s="1"/>
  <c r="C17" i="50" s="1"/>
  <c r="D56" i="27"/>
  <c r="D61" i="27" s="1"/>
  <c r="D16" i="50" s="1"/>
  <c r="D17" i="50" s="1"/>
  <c r="E79" i="27"/>
  <c r="F51" i="18" s="1"/>
  <c r="E16" i="50"/>
  <c r="E17" i="50" s="1"/>
  <c r="E34" i="50" s="1"/>
  <c r="E35" i="50" s="1"/>
  <c r="C30" i="50" l="1"/>
  <c r="D18" i="50"/>
  <c r="D34" i="50"/>
  <c r="D35" i="50" s="1"/>
  <c r="C18" i="50"/>
  <c r="C34" i="50"/>
  <c r="C35" i="50" s="1"/>
  <c r="D30" i="50"/>
  <c r="C79" i="27"/>
  <c r="D51" i="18" s="1"/>
  <c r="C19" i="50"/>
  <c r="D19" i="50"/>
  <c r="D79" i="27"/>
  <c r="E80" i="27"/>
  <c r="E81" i="27" s="1"/>
  <c r="E18" i="50"/>
  <c r="E19" i="50"/>
  <c r="C80" i="27" l="1"/>
  <c r="C82" i="27" s="1"/>
  <c r="E82" i="27"/>
  <c r="D80" i="27"/>
  <c r="E51" i="18"/>
  <c r="E52" i="18" s="1"/>
  <c r="F52" i="18"/>
  <c r="D52" i="18"/>
  <c r="C52" i="18"/>
  <c r="C81" i="27" l="1"/>
  <c r="D81" i="27"/>
  <c r="D82" i="27"/>
  <c r="D53" i="18"/>
  <c r="D61" i="18"/>
  <c r="D63" i="18" s="1"/>
  <c r="F53" i="18"/>
  <c r="F61" i="18"/>
  <c r="F63" i="18" s="1"/>
  <c r="E53" i="18"/>
  <c r="E61" i="18"/>
  <c r="E63" i="18" s="1"/>
  <c r="C53" i="18"/>
  <c r="C61" i="18"/>
  <c r="C63"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Thiago Nyssens</author>
  </authors>
  <commentList>
    <comment ref="C36" authorId="0" shapeId="0" xr:uid="{71181BA6-97F8-4EA6-AD25-EDA2BD8FEEF9}">
      <text>
        <r>
          <rPr>
            <b/>
            <sz val="9"/>
            <color indexed="81"/>
            <rFont val="Tahoma"/>
            <charset val="1"/>
          </rPr>
          <t>Thiago Nyssens:</t>
        </r>
        <r>
          <rPr>
            <sz val="9"/>
            <color indexed="81"/>
            <rFont val="Tahoma"/>
            <charset val="1"/>
          </rPr>
          <t xml:space="preserve">
Somme des batchs planifiés du mois, issue du planning hebdomadaire (lignes 56:107).</t>
        </r>
      </text>
    </comment>
    <comment ref="Y49" authorId="0" shapeId="0" xr:uid="{86F16915-B4EF-4792-AF0F-557E7EE310F8}">
      <text>
        <r>
          <rPr>
            <b/>
            <sz val="9"/>
            <color indexed="81"/>
            <rFont val="Tahoma"/>
            <family val="2"/>
          </rPr>
          <t>Thiago Nyssens:</t>
        </r>
        <r>
          <rPr>
            <sz val="9"/>
            <color indexed="81"/>
            <rFont val="Tahoma"/>
            <family val="2"/>
          </rPr>
          <t xml:space="preserve">
Doit égaler T16 = heures annuelles de production planifiée</t>
        </r>
      </text>
    </comment>
    <comment ref="Y50" authorId="0" shapeId="0" xr:uid="{31937E7E-AA7B-4DDF-A993-1833B885169C}">
      <text>
        <r>
          <rPr>
            <b/>
            <sz val="9"/>
            <color indexed="81"/>
            <rFont val="Tahoma"/>
            <family val="2"/>
          </rPr>
          <t>Thiago Nyssens:</t>
        </r>
        <r>
          <rPr>
            <sz val="9"/>
            <color indexed="81"/>
            <rFont val="Tahoma"/>
            <family val="2"/>
          </rPr>
          <t xml:space="preserve">
Doit égaler T16 = heures annuelles de production planifiée</t>
        </r>
      </text>
    </comment>
    <comment ref="B54" authorId="0" shapeId="0" xr:uid="{60DAD156-F016-46C3-B208-472563AFB749}">
      <text>
        <r>
          <rPr>
            <b/>
            <sz val="9"/>
            <color indexed="81"/>
            <rFont val="Tahoma"/>
            <charset val="1"/>
          </rPr>
          <t>Thiago Nyssens:</t>
        </r>
        <r>
          <rPr>
            <sz val="9"/>
            <color indexed="81"/>
            <rFont val="Tahoma"/>
            <charset val="1"/>
          </rPr>
          <t xml:space="preserve">
Méthode : le poids de chaque semaine = coefficient de saisonnalité du mois (lignes 19:30). Les batchs annuels (ligne 14) sont répartis par arrondi cumulé pondéré, ce qui garantit un total annuel exact tout en donnant moins de batchs aux mois à coefficient réduit (ex. octobre = 0,5). Le résumé mensuel se trouve lignes 36:47 (SUMIFS sur ce planning).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Thiago Nyssens</author>
  </authors>
  <commentList>
    <comment ref="R36" authorId="0" shapeId="0" xr:uid="{64558CA2-70A0-4524-A8E9-3FD6F463B3F9}">
      <text>
        <r>
          <rPr>
            <b/>
            <sz val="9"/>
            <color indexed="81"/>
            <rFont val="Tahoma"/>
            <family val="2"/>
          </rPr>
          <t>Thiago Nyssens:</t>
        </r>
        <r>
          <rPr>
            <sz val="9"/>
            <color indexed="81"/>
            <rFont val="Tahoma"/>
            <family val="2"/>
          </rPr>
          <t xml:space="preserve">
Clef de répartition RH transformation, calculée sur les totaux annuels en jours-semaine (colonne R) et non sur la moyenne des 12 ratios mensuels. Les tâches MIXTES sont exclues du dénominateur, ce qui revient exactement à les répartir au prorata prod primaire / transfo. Utilisée en '4. CHARGES FIXES'!F70.</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<sst xmlns="http://schemas.openxmlformats.org/spreadsheetml/2006/main" count="1802" uniqueCount="791">
  <si>
    <t>Onglet</t>
  </si>
  <si>
    <t>Utilité</t>
  </si>
  <si>
    <t>A faire</t>
  </si>
  <si>
    <t>Taux TVA :</t>
  </si>
  <si>
    <t>Article</t>
  </si>
  <si>
    <t>Fournisseur</t>
  </si>
  <si>
    <t>Unité conditionnement</t>
  </si>
  <si>
    <t>Coût d'achat HT à l'unité</t>
  </si>
  <si>
    <t>Unités nécessaires</t>
  </si>
  <si>
    <t>Prix de vente HT</t>
  </si>
  <si>
    <t>Marge brute</t>
  </si>
  <si>
    <t>Taux de marge</t>
  </si>
  <si>
    <t>Coefficient de marge</t>
  </si>
  <si>
    <t xml:space="preserve">Ratio achat vente </t>
  </si>
  <si>
    <t>Tomates roma</t>
  </si>
  <si>
    <t>Ail</t>
  </si>
  <si>
    <t>Basilic</t>
  </si>
  <si>
    <t>Huile Olive</t>
  </si>
  <si>
    <t>Interbio</t>
  </si>
  <si>
    <t xml:space="preserve">Bocal verre </t>
  </si>
  <si>
    <t>Grossiste</t>
  </si>
  <si>
    <t>Unité</t>
  </si>
  <si>
    <t>COMMENTAIRES</t>
  </si>
  <si>
    <t>Nom préparation</t>
  </si>
  <si>
    <t>Prix de vente B2C (TVAC)</t>
  </si>
  <si>
    <t>Prix de vente B2B (HTVA)</t>
  </si>
  <si>
    <t>B2C</t>
  </si>
  <si>
    <t>Etiquette</t>
  </si>
  <si>
    <t>Rack de 1000</t>
  </si>
  <si>
    <t>SOUSTOTAL INGREDIENTS</t>
  </si>
  <si>
    <t>Proportion SOUSTOTAL</t>
  </si>
  <si>
    <t>SOUSTOTAL CONSOMMABLES</t>
  </si>
  <si>
    <t>Prix de vente B2C (HTVA)</t>
  </si>
  <si>
    <t>Prix de vente B2B (TVAC)</t>
  </si>
  <si>
    <t>Taux de perte</t>
  </si>
  <si>
    <t>Nombre de portions  théoriques par batch</t>
  </si>
  <si>
    <t>Nombre de portions effectives par batch</t>
  </si>
  <si>
    <t>Fiche technique Transformation</t>
  </si>
  <si>
    <t>Couvercle Twist Off</t>
  </si>
  <si>
    <t>ID Produit</t>
  </si>
  <si>
    <t>#1</t>
  </si>
  <si>
    <t xml:space="preserve">TEMPS DE PREPARATION </t>
  </si>
  <si>
    <t xml:space="preserve">Cuisson </t>
  </si>
  <si>
    <t>Mise en bocal</t>
  </si>
  <si>
    <t>Sterilisation</t>
  </si>
  <si>
    <t>Découpe</t>
  </si>
  <si>
    <t>Lavage</t>
  </si>
  <si>
    <t>Durée totale BATCH</t>
  </si>
  <si>
    <t>Lave vaisselle</t>
  </si>
  <si>
    <t>Internet</t>
  </si>
  <si>
    <r>
      <t>Description</t>
    </r>
    <r>
      <rPr>
        <b/>
        <sz val="10"/>
        <rFont val="Calibri Light"/>
        <family val="2"/>
      </rPr>
      <t xml:space="preserve"> </t>
    </r>
    <r>
      <rPr>
        <sz val="10"/>
        <rFont val="Calibri Light"/>
        <family val="2"/>
      </rPr>
      <t>(exemples)</t>
    </r>
  </si>
  <si>
    <t>Autre</t>
  </si>
  <si>
    <t>IMMOBILISATIONS INCORPORELLES</t>
  </si>
  <si>
    <t>Site internet/création logo</t>
  </si>
  <si>
    <t>Fonds de commerce</t>
  </si>
  <si>
    <t>Frais enregistrement marque</t>
  </si>
  <si>
    <t>Autre (licences, savoir-faire, droit d'auteurs, frais de développement, etc)</t>
  </si>
  <si>
    <t>Achat immeuble</t>
  </si>
  <si>
    <t>Enseigne/lettrage</t>
  </si>
  <si>
    <t>Carrelage, travaux électricité, éclairage, ventillation, etc</t>
  </si>
  <si>
    <t>Peintures, etc</t>
  </si>
  <si>
    <t>Achat occasion</t>
  </si>
  <si>
    <r>
      <t xml:space="preserve">IMMOBILISATIONS DÉTENUES EN LOCATION-FINANCEMENT </t>
    </r>
    <r>
      <rPr>
        <sz val="10"/>
        <rFont val="Calibri Light"/>
        <family val="2"/>
      </rPr>
      <t>(LEASING)</t>
    </r>
    <r>
      <rPr>
        <b/>
        <sz val="10"/>
        <rFont val="Calibri Light"/>
        <family val="2"/>
      </rPr>
      <t xml:space="preserve"> ET DROITS SIMILAIRES </t>
    </r>
    <r>
      <rPr>
        <sz val="10"/>
        <rFont val="Calibri Light"/>
        <family val="2"/>
      </rPr>
      <t>(RENTING, ETC)</t>
    </r>
  </si>
  <si>
    <t>Année achat</t>
  </si>
  <si>
    <t>IMMOBILIER</t>
  </si>
  <si>
    <t>INSTALLATIONS</t>
  </si>
  <si>
    <t>MONTANT HTVA</t>
  </si>
  <si>
    <t>MACHINES ET OUTILLAGE</t>
  </si>
  <si>
    <t>MOBILIER PROFESSIONNEL</t>
  </si>
  <si>
    <t>MATERIEL DE BUREAU ET INFORMATIQUE</t>
  </si>
  <si>
    <t>MATERIEL ROULANT</t>
  </si>
  <si>
    <t>Catégorie investissement</t>
  </si>
  <si>
    <t>Machines cuisine</t>
  </si>
  <si>
    <t>Autoclave</t>
  </si>
  <si>
    <t>Achat neuf - camio</t>
  </si>
  <si>
    <t>Légende pour compléter le fichier:</t>
  </si>
  <si>
    <r>
      <t xml:space="preserve">sont calculées automatiquement et </t>
    </r>
    <r>
      <rPr>
        <u/>
        <sz val="10"/>
        <color rgb="FFFF0000"/>
        <rFont val="Calibri Light"/>
        <family val="2"/>
      </rPr>
      <t>ne sont pas</t>
    </r>
    <r>
      <rPr>
        <sz val="10"/>
        <rFont val="Calibri Light"/>
        <family val="2"/>
      </rPr>
      <t xml:space="preserve"> à compléter</t>
    </r>
  </si>
  <si>
    <t>doivent être complétée par vos données chiffrées</t>
  </si>
  <si>
    <t>sont précomplétées mais modifiables (! Certaines contiennent des formules compliquées, notamment l'onglet de trésorerie)</t>
  </si>
  <si>
    <t>incolores : compléments d'informations sont à compléter manuellement</t>
  </si>
  <si>
    <t>Année en cours</t>
  </si>
  <si>
    <t>VALEUR RESIDUELLE année en cours</t>
  </si>
  <si>
    <t>année en cours</t>
  </si>
  <si>
    <t>Étiquettes de lignes</t>
  </si>
  <si>
    <t>Total général</t>
  </si>
  <si>
    <t>Somme de MONTANT HTVA</t>
  </si>
  <si>
    <t>Étiquettes de colonnes</t>
  </si>
  <si>
    <t>A titre indicatif - Taux amortissement</t>
  </si>
  <si>
    <t>Durée vie : années</t>
  </si>
  <si>
    <t>Investissements immatériels</t>
  </si>
  <si>
    <t>Immeuble (achat)</t>
  </si>
  <si>
    <t>Matériel activité neuf</t>
  </si>
  <si>
    <t>Matériel roulant neuf</t>
  </si>
  <si>
    <t>Matériel roulant occassion</t>
  </si>
  <si>
    <t>Matériel informatique neuf</t>
  </si>
  <si>
    <t>Mobilier professionnel neuf</t>
  </si>
  <si>
    <t>Total charges fixes professionnelles</t>
  </si>
  <si>
    <t>PCMN</t>
  </si>
  <si>
    <t>Type de charges</t>
  </si>
  <si>
    <t>Commentaires</t>
  </si>
  <si>
    <t>Charges locatives et d'entretien</t>
  </si>
  <si>
    <t>Locations, charges locatives et leasing</t>
  </si>
  <si>
    <t>Bâtiments (commerce, garage, partie professionnelle)</t>
  </si>
  <si>
    <t xml:space="preserve"> Matériel (machines, outillage, etc.)</t>
  </si>
  <si>
    <t>Véhicule professionnel</t>
  </si>
  <si>
    <t>Entretien</t>
  </si>
  <si>
    <t>Bâtiment (commerce, garage, partie professionnelle)</t>
  </si>
  <si>
    <t>Matériel (machines, outillage, etc.)</t>
  </si>
  <si>
    <t>Fournitures diverses et énergie</t>
  </si>
  <si>
    <t>Papeterie et matériel de bureau (y compris entretien)</t>
  </si>
  <si>
    <t>Livres, documentation, abonnements, formations</t>
  </si>
  <si>
    <t>Petit matériel</t>
  </si>
  <si>
    <t>Produits d'entretien</t>
  </si>
  <si>
    <t>Produits de consommation</t>
  </si>
  <si>
    <t>Consommation d'eau et d'énergie</t>
  </si>
  <si>
    <t>Mazout de chauffage</t>
  </si>
  <si>
    <t>Rétribution de tiers</t>
  </si>
  <si>
    <t>Commissions (sur ventes)</t>
  </si>
  <si>
    <t>Honoraires</t>
  </si>
  <si>
    <t>Honoraires comptable ou expert-comptable</t>
  </si>
  <si>
    <t>Autres honoraires (avocats, experts, etc.)</t>
  </si>
  <si>
    <t>Organismes de prestation de services</t>
  </si>
  <si>
    <t>Secrétariat social</t>
  </si>
  <si>
    <t>Prestations informaticien, graphiste, formateurs, etc.</t>
  </si>
  <si>
    <t>Contrôle technique véhicule professionnel</t>
  </si>
  <si>
    <t>Assurances autres que pour le personnel</t>
  </si>
  <si>
    <t>Incendie, vol, tempête, perte revenus, etc.</t>
  </si>
  <si>
    <t>Assurance civile RC</t>
  </si>
  <si>
    <t>Assurance risques professionnels</t>
  </si>
  <si>
    <t>Autres assurances (emprunts, juridique, transport)</t>
  </si>
  <si>
    <t>Frais de transport (sur les ventes/les achats)</t>
  </si>
  <si>
    <t>Poste - Frais communic. - Frais déplacement</t>
  </si>
  <si>
    <t>Frais postaux</t>
  </si>
  <si>
    <t xml:space="preserve">Téléphone </t>
  </si>
  <si>
    <t>GSM</t>
  </si>
  <si>
    <t>Frais de déplacement (carburant)</t>
  </si>
  <si>
    <t>Autres frais de déplacement (hôtel, parking)</t>
  </si>
  <si>
    <t>Publicité, annonces, foires, expositions</t>
  </si>
  <si>
    <t>Cotisations fédération professionnelle</t>
  </si>
  <si>
    <t>Rémunération et charges de l'indépendant / gérant(s)</t>
  </si>
  <si>
    <t>SOCIETE - Emoluments gérant indép. (cotisations sociales incluses)</t>
  </si>
  <si>
    <t>Assurance-vie</t>
  </si>
  <si>
    <t>Autres assurances</t>
  </si>
  <si>
    <t>Rémunération et charges des salariés</t>
  </si>
  <si>
    <t>Amortissements (selon investissements)</t>
  </si>
  <si>
    <t>Autres charges d'exploitation-taxes</t>
  </si>
  <si>
    <t>Précompte immobilier</t>
  </si>
  <si>
    <t>Taxe de circulation véhicule professionnel</t>
  </si>
  <si>
    <t>Autres taxes (égoûts, terrasse, environ., accises, Sabam)</t>
  </si>
  <si>
    <t>SOCIETE - Cotisations sociales société</t>
  </si>
  <si>
    <t>Charges financières</t>
  </si>
  <si>
    <t>Intérêts sur emprunts</t>
  </si>
  <si>
    <t>Frais de rappel, huissiers, etc.</t>
  </si>
  <si>
    <t>Frais bancaires</t>
  </si>
  <si>
    <t>Autres charges - divers</t>
  </si>
  <si>
    <t>Imprévus</t>
  </si>
  <si>
    <t>Commentaires/ Explications</t>
  </si>
  <si>
    <t>Montant annel HTVA</t>
  </si>
  <si>
    <t>ANNEE</t>
  </si>
  <si>
    <t>Capsuleuse-sertisseuse</t>
  </si>
  <si>
    <t>Empoteuse</t>
  </si>
  <si>
    <t>Sous-videuse</t>
  </si>
  <si>
    <t>Sechoir armoire (50kg)</t>
  </si>
  <si>
    <t>Marmite chauffe directe (50</t>
  </si>
  <si>
    <t>Catégorie investissment</t>
  </si>
  <si>
    <t>Durée amort.</t>
  </si>
  <si>
    <t>Requalification autoclave (tous les 10 ans)</t>
  </si>
  <si>
    <t>Nattoyage</t>
  </si>
  <si>
    <t>TEMPS MACHINE (min)</t>
  </si>
  <si>
    <t>Type Machine utilisé (CV DIRECTES)</t>
  </si>
  <si>
    <t>Kwh utilisé</t>
  </si>
  <si>
    <t>Lave vaisselle automatique</t>
  </si>
  <si>
    <t xml:space="preserve">Puisance  (KW) </t>
  </si>
  <si>
    <t>Piano cuisson gaz</t>
  </si>
  <si>
    <t>SOURCE ENERGIE</t>
  </si>
  <si>
    <t>GAZ</t>
  </si>
  <si>
    <t>ELEC</t>
  </si>
  <si>
    <t>Prix Gaz (€/kwH)</t>
  </si>
  <si>
    <t>Prix Elec (€/KwH)</t>
  </si>
  <si>
    <t>COUT ENERGIE</t>
  </si>
  <si>
    <t>SOUSTOTAL ENERGIE DIRECTE</t>
  </si>
  <si>
    <t>Volume unité [L]</t>
  </si>
  <si>
    <t>Volume Batch</t>
  </si>
  <si>
    <t>Prix de vente (B2B)</t>
  </si>
  <si>
    <t>Prix de vente (B2C)</t>
  </si>
  <si>
    <t>Taux de marque B2C/B2B</t>
  </si>
  <si>
    <t>Stock année précédente (unité)</t>
  </si>
  <si>
    <t>VENTE et VARIATION DE STOCK</t>
  </si>
  <si>
    <t>Unités vendues B2B</t>
  </si>
  <si>
    <t>C.A total (B2B+B2C)</t>
  </si>
  <si>
    <t>Unités vendues B2C</t>
  </si>
  <si>
    <t>TOTAL ANNEE</t>
  </si>
  <si>
    <t>ONGLET SOURCE</t>
  </si>
  <si>
    <t>Chambre froide positive (conso annuelle)</t>
  </si>
  <si>
    <t>Année 1</t>
  </si>
  <si>
    <t>Année 2</t>
  </si>
  <si>
    <t>Année 3</t>
  </si>
  <si>
    <t>Cotisations sociales indépendant : barèmes</t>
  </si>
  <si>
    <t>RECETTES ET SUBVENTIONS</t>
  </si>
  <si>
    <t>Ventes (hors T.V.A.)</t>
  </si>
  <si>
    <t>Montant ou %</t>
  </si>
  <si>
    <t>Tranche de … à … 2025</t>
  </si>
  <si>
    <t>€/tranche</t>
  </si>
  <si>
    <t xml:space="preserve">Forfait min </t>
  </si>
  <si>
    <t>Achats (hors T.V.A.)</t>
  </si>
  <si>
    <t>Si complémentaire</t>
  </si>
  <si>
    <t>Attention ci dessous : lien vers fiche technique</t>
  </si>
  <si>
    <t>Bénéfice brut d'exploitation</t>
  </si>
  <si>
    <t>ex. "subsides"</t>
  </si>
  <si>
    <t>ex. dons</t>
  </si>
  <si>
    <t>Subventions et dons</t>
  </si>
  <si>
    <t xml:space="preserve"> %</t>
  </si>
  <si>
    <t>Tranche -  Impôt des personnes physiques 2024</t>
  </si>
  <si>
    <t>revenus imposables</t>
  </si>
  <si>
    <t>Quotité base exemptée d'impôt 2024</t>
  </si>
  <si>
    <r>
      <t xml:space="preserve">pour tout revenu </t>
    </r>
    <r>
      <rPr>
        <u/>
        <sz val="10"/>
        <rFont val="Calibri Light"/>
        <family val="2"/>
      </rPr>
      <t xml:space="preserve">d'activité - </t>
    </r>
    <r>
      <rPr>
        <sz val="10"/>
        <rFont val="Calibri Light"/>
        <family val="2"/>
      </rPr>
      <t>! Pas d'application pour pensionnés ou revenus de remplacement</t>
    </r>
  </si>
  <si>
    <t>Quotité personnes à charge sur les revenus 2024 - impôts 2025</t>
  </si>
  <si>
    <t>Quotité à prendre en compte</t>
  </si>
  <si>
    <t>par enfant à charge supplémentaire</t>
  </si>
  <si>
    <t>isolé avec enfant à charge</t>
  </si>
  <si>
    <t>suppl. par enfant de moins de 3 ans sans déduction de frais de garde</t>
  </si>
  <si>
    <t>personne à charge âgée de plus de 65 ans</t>
  </si>
  <si>
    <t>pour toute autre personne à charge/handicap/etc</t>
  </si>
  <si>
    <t>Calcul réduction -  Impôt des personnes physiques</t>
  </si>
  <si>
    <t>Estimation du calcul de l'impôt des sociétés (revenus 2023 - imposition 2024)</t>
  </si>
  <si>
    <t>Taux applicable - revenus 2023 / imposition 2024</t>
  </si>
  <si>
    <t>%</t>
  </si>
  <si>
    <t>Tranche</t>
  </si>
  <si>
    <t>Impôt</t>
  </si>
  <si>
    <t>Total impôt dû</t>
  </si>
  <si>
    <t>Total charges professionnelles</t>
  </si>
  <si>
    <t>Calcul de la capacité de remboursement</t>
  </si>
  <si>
    <r>
      <rPr>
        <sz val="11"/>
        <rFont val="Calibri Light"/>
        <family val="2"/>
      </rPr>
      <t>Cash Flow</t>
    </r>
    <r>
      <rPr>
        <b/>
        <sz val="11"/>
        <rFont val="Calibri Light"/>
        <family val="2"/>
      </rPr>
      <t xml:space="preserve"> </t>
    </r>
    <r>
      <rPr>
        <sz val="11"/>
        <rFont val="Calibri Light"/>
        <family val="2"/>
      </rPr>
      <t>(bénéfice net + amortissements)</t>
    </r>
  </si>
  <si>
    <t>Cash flow disponible</t>
  </si>
  <si>
    <t>Seuil de rentabilité de l'entreprise</t>
  </si>
  <si>
    <t>Seuil de rentabilié annuel</t>
  </si>
  <si>
    <t>Seuil de rentabilité mensuel</t>
  </si>
  <si>
    <t>Mois</t>
  </si>
  <si>
    <t>Janvier</t>
  </si>
  <si>
    <t>Février</t>
  </si>
  <si>
    <t>Mars</t>
  </si>
  <si>
    <t>Avril</t>
  </si>
  <si>
    <t>Mai</t>
  </si>
  <si>
    <t>Juin</t>
  </si>
  <si>
    <t>Juillet</t>
  </si>
  <si>
    <t>Août</t>
  </si>
  <si>
    <t>Septembre</t>
  </si>
  <si>
    <t>Octobre</t>
  </si>
  <si>
    <t>Novembre</t>
  </si>
  <si>
    <t>Décembre</t>
  </si>
  <si>
    <t xml:space="preserve">Ouvrier 1 </t>
  </si>
  <si>
    <t xml:space="preserve">RESSOURCE </t>
  </si>
  <si>
    <t xml:space="preserve">BESOIN </t>
  </si>
  <si>
    <t>ETP</t>
  </si>
  <si>
    <t>TOTAL RESSOURCE (ETP)</t>
  </si>
  <si>
    <t>TOTAL RESSOURCE (Jour/semaine</t>
  </si>
  <si>
    <t>TOTAL  BESOIN(ETP)</t>
  </si>
  <si>
    <t>Completer sur base de vos factures (diviser conso totale par facture totale)</t>
  </si>
  <si>
    <t>Clé Répartition</t>
  </si>
  <si>
    <t>VERIF,</t>
  </si>
  <si>
    <t>TOTAL IMMOBILISATIONS (ATTRIBUEES A TRANSFO)</t>
  </si>
  <si>
    <t>0</t>
  </si>
  <si>
    <t>Les montants pour les autres années se calculent automatiquement, mais peuvent être modifiés manuellement</t>
  </si>
  <si>
    <t>Taux inflation charges</t>
  </si>
  <si>
    <t>Remplir à minima la dernière année comptable écoulée (année -1)</t>
  </si>
  <si>
    <t>Volume batch (cycle de production) [L]</t>
  </si>
  <si>
    <t>Quantité produite en un cycle</t>
  </si>
  <si>
    <t>Volume unité vendue [L]</t>
  </si>
  <si>
    <t>Nombre d'unités réellement produites par batch</t>
  </si>
  <si>
    <t>Taux de perte par batch</t>
  </si>
  <si>
    <t xml:space="preserve">Taux de majoration (ou markup)  </t>
  </si>
  <si>
    <t>Ratio Prix  B2C / B2B</t>
  </si>
  <si>
    <t>Par défaut, choisir prix mercuriale légumes</t>
  </si>
  <si>
    <t>Total couts variables par batch (HTVA)</t>
  </si>
  <si>
    <t>Total couts variables par unité produite (HTVA)</t>
  </si>
  <si>
    <t xml:space="preserve">B2B </t>
  </si>
  <si>
    <t>Prix de vente unitaire (HTVA)</t>
  </si>
  <si>
    <t>Marge brute unitaire (HTVA)</t>
  </si>
  <si>
    <t xml:space="preserve">Taux de marge </t>
  </si>
  <si>
    <t>ENERGIE ET RESSOURCES HUMAINES PAR BATCH</t>
  </si>
  <si>
    <t>TEMPS TRAVAIL ACTIF (min)</t>
  </si>
  <si>
    <t>COUT VARIABLE HTVA</t>
  </si>
  <si>
    <t>TEMPS TOTAL (min)</t>
  </si>
  <si>
    <t>ETAPE I</t>
  </si>
  <si>
    <t>ETAPE J</t>
  </si>
  <si>
    <t>ETAPE K</t>
  </si>
  <si>
    <t>ETAPE L</t>
  </si>
  <si>
    <t xml:space="preserve">Explication </t>
  </si>
  <si>
    <t>Coulis de tomate</t>
  </si>
  <si>
    <t>#2</t>
  </si>
  <si>
    <t>#3</t>
  </si>
  <si>
    <t>#6</t>
  </si>
  <si>
    <t>FT_PROD (1)</t>
  </si>
  <si>
    <t>FT_PROD (2)</t>
  </si>
  <si>
    <t>FT_PROD (3)</t>
  </si>
  <si>
    <t>FT_PROD (4)</t>
  </si>
  <si>
    <t>FT_PROD (5)</t>
  </si>
  <si>
    <t>FT_PROD (6)</t>
  </si>
  <si>
    <t>FT_PROD (7)</t>
  </si>
  <si>
    <t>FT_PROD (8)</t>
  </si>
  <si>
    <t>FT_PROD (9)</t>
  </si>
  <si>
    <t>FT_PROD (10)</t>
  </si>
  <si>
    <t>FT_PROD (11)</t>
  </si>
  <si>
    <t>FT_PROD (12)</t>
  </si>
  <si>
    <t>FT_PROD (13)</t>
  </si>
  <si>
    <t>FT_PROD (14)</t>
  </si>
  <si>
    <t>FT_PROD (15)</t>
  </si>
  <si>
    <t>FT_PROD (16)</t>
  </si>
  <si>
    <t>C3</t>
  </si>
  <si>
    <t>D10</t>
  </si>
  <si>
    <t>G10</t>
  </si>
  <si>
    <t>D13</t>
  </si>
  <si>
    <t>D5</t>
  </si>
  <si>
    <t>D6</t>
  </si>
  <si>
    <t>Quantité produite année en cours (unité)</t>
  </si>
  <si>
    <t>Rebuts / perte stock année précédente</t>
  </si>
  <si>
    <t>MB Total (B2B + B2C)</t>
  </si>
  <si>
    <t>Part de B2B pour ce produit  [en unités]</t>
  </si>
  <si>
    <t xml:space="preserve">Part de ce produit (B2B et B2C) dans chiffre d'affaires total </t>
  </si>
  <si>
    <t>G43</t>
  </si>
  <si>
    <t>Année -2 : 2023</t>
  </si>
  <si>
    <t>DONNEES DE BASE - FICHES TECHNIQUES (INVARIABLE)</t>
  </si>
  <si>
    <t>Ratio achat vente année</t>
  </si>
  <si>
    <t>Imposition si société</t>
  </si>
  <si>
    <t>Année 4</t>
  </si>
  <si>
    <t>Production primaire</t>
  </si>
  <si>
    <t>Nettoyage</t>
  </si>
  <si>
    <t>Préparation commandes</t>
  </si>
  <si>
    <t>Livraison</t>
  </si>
  <si>
    <t>Tâche (PERSONNE.JOUR/SEMAINE)</t>
  </si>
  <si>
    <t>Autre 2</t>
  </si>
  <si>
    <t>Autre 3</t>
  </si>
  <si>
    <t>Ouvrier 2</t>
  </si>
  <si>
    <t>TOTAL BESOIN (Jour/semaine</t>
  </si>
  <si>
    <t>JANVIER</t>
  </si>
  <si>
    <t>FÉVRIER</t>
  </si>
  <si>
    <t>MARS</t>
  </si>
  <si>
    <t>AVRIL</t>
  </si>
  <si>
    <t>MAI</t>
  </si>
  <si>
    <t>JUIN</t>
  </si>
  <si>
    <t>JUILLET</t>
  </si>
  <si>
    <t>AOÛT</t>
  </si>
  <si>
    <t>SEPTEMBRE</t>
  </si>
  <si>
    <t>OCTOBRE</t>
  </si>
  <si>
    <t>NOVEMBRE</t>
  </si>
  <si>
    <t>DÉCEMBRE</t>
  </si>
  <si>
    <t>TOTAL MOIS TRANSFO</t>
  </si>
  <si>
    <t>SEMAINE TRANSFO</t>
  </si>
  <si>
    <t>Produit</t>
  </si>
  <si>
    <t>Montant annuel HTVA</t>
  </si>
  <si>
    <t>Soustraitance</t>
  </si>
  <si>
    <t>Stocks restant année</t>
  </si>
  <si>
    <t>Mettre à 0  si vous êtes en indépendant (impots calculés plus bas)</t>
  </si>
  <si>
    <t>0. MODE D'EMPLOI</t>
  </si>
  <si>
    <t>3. TCD - Synthèse INVEST</t>
  </si>
  <si>
    <t>4. CHARGES FIXES</t>
  </si>
  <si>
    <t>5. RESUME GAMME - CACV</t>
  </si>
  <si>
    <t>Compléter uniquement  ici les ingrédients utilisés. Les fiches recettes viendront chercher les données dans ce tableau</t>
  </si>
  <si>
    <t>Si autoproduit, indiquer  "Auto" comme fournisseur</t>
  </si>
  <si>
    <t>Sel</t>
  </si>
  <si>
    <t>Solucious</t>
  </si>
  <si>
    <t>Poivre</t>
  </si>
  <si>
    <t>Chocolat chips</t>
  </si>
  <si>
    <t>Coût d'achat HTVA  à l'unité</t>
  </si>
  <si>
    <t>1 Botte</t>
  </si>
  <si>
    <t>1 kg</t>
  </si>
  <si>
    <t>1 L</t>
  </si>
  <si>
    <t>1 Kg</t>
  </si>
  <si>
    <t>0.1 Kg</t>
  </si>
  <si>
    <t>Compléter uniquement  ici les consommables utilisés. Les fiches recettes viendront chercher les données dans ce tableau</t>
  </si>
  <si>
    <t>Sac papier</t>
  </si>
  <si>
    <t>Seuil de rentabilité monoproduit (€) - sur base des charges fixes années en cours</t>
  </si>
  <si>
    <t>Seuil de rentabilité monoproduit (unités vendues) - sur base des charges fixes année en cours</t>
  </si>
  <si>
    <t>SR monoproduit (€) - année en cours</t>
  </si>
  <si>
    <t>SR monoproduit (unités) - année en cours</t>
  </si>
  <si>
    <t>#4</t>
  </si>
  <si>
    <t>Marge Brute unitaire (B2B)</t>
  </si>
  <si>
    <t>Marge Brute unitaire (B2C)</t>
  </si>
  <si>
    <t>Marge brute par batch (HTVA)</t>
  </si>
  <si>
    <t>Marge brute/heure de travail actif (HTVA)</t>
  </si>
  <si>
    <t>Proportion Consommables dans Charges Variables</t>
  </si>
  <si>
    <t>Proportion Energie dans charges Variables</t>
  </si>
  <si>
    <t>H33</t>
  </si>
  <si>
    <t>H43</t>
  </si>
  <si>
    <t>H44</t>
  </si>
  <si>
    <t>G52</t>
  </si>
  <si>
    <t>C73</t>
  </si>
  <si>
    <t>G55</t>
  </si>
  <si>
    <t>Ratio Achat Vente (B2B)</t>
  </si>
  <si>
    <t>G50</t>
  </si>
  <si>
    <t>K50</t>
  </si>
  <si>
    <t>Proportion Matières Premières dans Charges Variables</t>
  </si>
  <si>
    <t>Ratio Achat Vente (B2C)</t>
  </si>
  <si>
    <t>K55</t>
  </si>
  <si>
    <t>CELLULE SOURCE</t>
  </si>
  <si>
    <t>Année prochaine : 2026</t>
  </si>
  <si>
    <t xml:space="preserve">Prop. Matières premières dans C.A </t>
  </si>
  <si>
    <t xml:space="preserve">Prop. Consommables dans C.A </t>
  </si>
  <si>
    <t xml:space="preserve">Prop. Energie dans C.A </t>
  </si>
  <si>
    <t xml:space="preserve">Ratio Achat Vente (B2C + B2B) </t>
  </si>
  <si>
    <t>ANALYSES PERFORMANCE PRODUIT ANNEE EN COURS</t>
  </si>
  <si>
    <t>G46</t>
  </si>
  <si>
    <t>Part CA B2C dans CA total</t>
  </si>
  <si>
    <t>Part B2C dans total unités vendues</t>
  </si>
  <si>
    <t>Evolution par rapport à année précédente</t>
  </si>
  <si>
    <t>Rang</t>
  </si>
  <si>
    <t>C.A total (€)</t>
  </si>
  <si>
    <t>% du total</t>
  </si>
  <si>
    <t>% cumulé</t>
  </si>
  <si>
    <t>Marge Brute (B2B) / heure travail effectif</t>
  </si>
  <si>
    <t>Marge Brute B2C / heure travail effectif</t>
  </si>
  <si>
    <t>K52</t>
  </si>
  <si>
    <t>Unités par batch</t>
  </si>
  <si>
    <t>D8</t>
  </si>
  <si>
    <t>Marge Brute totale / heure de travail</t>
  </si>
  <si>
    <t>Marge Brute (MB) en %age du C.A</t>
  </si>
  <si>
    <t>% Marge Brute</t>
  </si>
  <si>
    <t>MB / heure travail (€/h)</t>
  </si>
  <si>
    <t>C.A (€)</t>
  </si>
  <si>
    <t>% MB</t>
  </si>
  <si>
    <t>Moyenne CA</t>
  </si>
  <si>
    <t>Moyenne %MB</t>
  </si>
  <si>
    <t>Min CA</t>
  </si>
  <si>
    <t>Max CA</t>
  </si>
  <si>
    <t>Min %MB</t>
  </si>
  <si>
    <t>Max %MB</t>
  </si>
  <si>
    <t>LigneV_X</t>
  </si>
  <si>
    <t>LigneV_Y</t>
  </si>
  <si>
    <t>LigneH_X</t>
  </si>
  <si>
    <t>LigneH_Y</t>
  </si>
  <si>
    <t>CHARGES FIXES ENTITE JURIDIQUE</t>
  </si>
  <si>
    <t>CHARGES FIXES ATELIER TRANSFORMATION</t>
  </si>
  <si>
    <t>Clef de répartition unique - part des charges fixes de l'entreprise allouées à la transformation</t>
  </si>
  <si>
    <t>Liste indicateurs fiche recette</t>
  </si>
  <si>
    <t>C2</t>
  </si>
  <si>
    <t>Nombre de portions théoriques par batch</t>
  </si>
  <si>
    <t>D7</t>
  </si>
  <si>
    <t>D9</t>
  </si>
  <si>
    <t>Taux TVA B2B</t>
  </si>
  <si>
    <t>D11</t>
  </si>
  <si>
    <t>D12</t>
  </si>
  <si>
    <t>G12</t>
  </si>
  <si>
    <t>Taux TVA B2C</t>
  </si>
  <si>
    <t>G11</t>
  </si>
  <si>
    <t>Sous-total Ingrédients (coût variable / batch)</t>
  </si>
  <si>
    <t>G33</t>
  </si>
  <si>
    <t>Sous-total Consommables (coût variable / batch)</t>
  </si>
  <si>
    <t>Sous-total Énergie directe (coût variable / batch)</t>
  </si>
  <si>
    <t>G44</t>
  </si>
  <si>
    <t>Total coûts variables par batch (HTVA)</t>
  </si>
  <si>
    <t>G45</t>
  </si>
  <si>
    <t>Marge brute par batch B2B (HTVA)</t>
  </si>
  <si>
    <t>G51</t>
  </si>
  <si>
    <t>Marge brute par batch B2C (HTVA)</t>
  </si>
  <si>
    <t>K51</t>
  </si>
  <si>
    <t>Taux de marge B2B</t>
  </si>
  <si>
    <t>G53</t>
  </si>
  <si>
    <t>Taux de marge B2C</t>
  </si>
  <si>
    <t>K53</t>
  </si>
  <si>
    <t>Coefficient de marge B2B</t>
  </si>
  <si>
    <t>G54</t>
  </si>
  <si>
    <t>Coefficient de marge B2C</t>
  </si>
  <si>
    <t>K54</t>
  </si>
  <si>
    <t>Seuil de rentabilité monoproduit B2B (€)</t>
  </si>
  <si>
    <t>G56</t>
  </si>
  <si>
    <t>Seuil de rentabilité monoproduit B2B (unités)</t>
  </si>
  <si>
    <t>G57</t>
  </si>
  <si>
    <t>Seuil de rentabilité monoproduit B2C (€)</t>
  </si>
  <si>
    <t>K56</t>
  </si>
  <si>
    <t>Seuil de rentabilité monoproduit B2C (unités)</t>
  </si>
  <si>
    <t>K57</t>
  </si>
  <si>
    <t>Temps de travail actif total / batch (min)</t>
  </si>
  <si>
    <t>Temps machine total / batch (min)</t>
  </si>
  <si>
    <t>D73</t>
  </si>
  <si>
    <t>Temps total / batch (min)</t>
  </si>
  <si>
    <t>E73</t>
  </si>
  <si>
    <t>Consommation énergie totale / batch (kWh)</t>
  </si>
  <si>
    <t>H73</t>
  </si>
  <si>
    <t>Coût énergie total / batch (€)</t>
  </si>
  <si>
    <t>J73</t>
  </si>
  <si>
    <t>Minutes de travail actif / Batch</t>
  </si>
  <si>
    <t>PRODUCTION ANNEE (unités)</t>
  </si>
  <si>
    <t>PRODUCTION ANNEE (batchs)</t>
  </si>
  <si>
    <t>Delta stock (stock année - stock année préced)</t>
  </si>
  <si>
    <t>Valeur delta stock</t>
  </si>
  <si>
    <t>Heures travail production (delta stock + unités vendues)</t>
  </si>
  <si>
    <t xml:space="preserve">HEURES PRODUCTION </t>
  </si>
  <si>
    <t>Ratio utilisation</t>
  </si>
  <si>
    <t>Statut</t>
  </si>
  <si>
    <t>Nb produits actifs</t>
  </si>
  <si>
    <t>Batchs/sem requis</t>
  </si>
  <si>
    <t>Heures/sem requises</t>
  </si>
  <si>
    <t>Jours/sem requis (38h)</t>
  </si>
  <si>
    <t>Heures dispo MAX par semaine</t>
  </si>
  <si>
    <t>RATIO UTILISATION</t>
  </si>
  <si>
    <t>Ouvrier 3</t>
  </si>
  <si>
    <t>Ouvrier 4</t>
  </si>
  <si>
    <t xml:space="preserve">Chiffre d'affaire autoproduction </t>
  </si>
  <si>
    <t>Par batch</t>
  </si>
  <si>
    <t>Par unité</t>
  </si>
  <si>
    <t>Autoproduction</t>
  </si>
  <si>
    <t>Non</t>
  </si>
  <si>
    <t>Oui</t>
  </si>
  <si>
    <t>Inbterbio</t>
  </si>
  <si>
    <t>Chiffre d'affaire autoprorduction /unité)</t>
  </si>
  <si>
    <t>C78</t>
  </si>
  <si>
    <t>C.A autoproduction</t>
  </si>
  <si>
    <t>Chiffre d'affaires autoproduction</t>
  </si>
  <si>
    <t xml:space="preserve">Ne pas oublier ONSS patronale / Double Pécvule de vacances etc. </t>
  </si>
  <si>
    <t>Voir onglet amortissements</t>
  </si>
  <si>
    <t>Indiquer ici le montant tout compris de la rémunéraiton de chaque employé. Ce montant total sera rerpis dans les charges fixes</t>
  </si>
  <si>
    <t>=</t>
  </si>
  <si>
    <t>J/sem moyen</t>
  </si>
  <si>
    <t>Moyenne annuelle</t>
  </si>
  <si>
    <t>Clef</t>
  </si>
  <si>
    <t>Voir onglet besoin RH mensuel</t>
  </si>
  <si>
    <t xml:space="preserve">Commentaires </t>
  </si>
  <si>
    <t>Pickels légumes</t>
  </si>
  <si>
    <t>Potage legume feuille</t>
  </si>
  <si>
    <t>Bolognaise</t>
  </si>
  <si>
    <t>Chutney carottes</t>
  </si>
  <si>
    <t>Marmelade agrumes</t>
  </si>
  <si>
    <t>#7</t>
  </si>
  <si>
    <t>Sirop menthe</t>
  </si>
  <si>
    <t>#8</t>
  </si>
  <si>
    <t>Cornichons</t>
  </si>
  <si>
    <t>BATCH ANNE ARRONDI</t>
  </si>
  <si>
    <t>BATCHS PLANIFIÉS PAR MOIS (entiers, surplus en fin de saison)</t>
  </si>
  <si>
    <t>ANALYSE PRODUCTION ANNUELLE PRODUIT PAR PRODUIT</t>
  </si>
  <si>
    <t>Saisonnalité de la production</t>
  </si>
  <si>
    <t>Verification heures de prod annuelle</t>
  </si>
  <si>
    <t>Intégrer les remboursements du capital ici  (pas des intérêts)</t>
  </si>
  <si>
    <t>1. DONNEES DE BASE</t>
  </si>
  <si>
    <t>2. INVEST &amp; AMORT</t>
  </si>
  <si>
    <t>8. Matrice MENU ENGINEERING</t>
  </si>
  <si>
    <t>11. Résultats</t>
  </si>
  <si>
    <t>9. Capacité prod mensuelle</t>
  </si>
  <si>
    <t>10. BESOIN RH mensuel</t>
  </si>
  <si>
    <t>12. LISTE INGREDIENTS</t>
  </si>
  <si>
    <t>6. Analyse Pareto</t>
  </si>
  <si>
    <t>7. Pareto - Graphique CA</t>
  </si>
  <si>
    <t>Néant.</t>
  </si>
  <si>
    <t>13. LISTE CONSOMMABLES</t>
  </si>
  <si>
    <t>Liste exhaustive des consommables (emballages, étiquettes, etc.) utilisés dans les recettes.</t>
  </si>
  <si>
    <t>Compléter fournisseur, unité de conditionnement et coût d'achat HTVA pour chaque consommable.</t>
  </si>
  <si>
    <t>14. CALCUL IMPOT</t>
  </si>
  <si>
    <t>Part d'energie reprise dans charges variables</t>
  </si>
  <si>
    <t>Eviter le double comptage des charges d'énergie</t>
  </si>
  <si>
    <t>ORGANISATION MENSUELLE  DE LA PRODUCTION - SELON SAISONNALITE ET QUANTITE A PRODUIRE</t>
  </si>
  <si>
    <t>Explique le fonctionnement du document et la légende des couleurs.</t>
  </si>
  <si>
    <t>Reprend les données de base de l'activité (année en cours, prix de l'énergie, etc.).</t>
  </si>
  <si>
    <t>Mettre à jour l'année et les prix de l'énergie.</t>
  </si>
  <si>
    <t>Calcule les investissements de l'activité et leur amortissement annuel.</t>
  </si>
  <si>
    <t>Lister toutes les immobilisations matérielles et immatérielles. Tenir compte d'une clef de répartition si l'objet n'est pas uniquement utilisé pour la transformation. Si investissement réalisé à partir du 01/10, indiquer qu'il a été réalisé l'année suivante.</t>
  </si>
  <si>
    <t>Résume les investissements réalisés dans le temps (tableau croisé dynamique).</t>
  </si>
  <si>
    <t>Néant. Attention, le TCD ne se met à jour qu'à l'ouverture du document (clic droit → Actualiser si besoin).</t>
  </si>
  <si>
    <t>Liste les charges qui ne dépendent pas du volume de production.</t>
  </si>
  <si>
    <t>Les données produits viennent des fiches techniques (FT_PROD). Indiquer pour chaque année les quantités vendues (B2B/B2C), produites et les rebuts de stock. Les C.A et M.B totaux annuels apparaissent à droite de la feuille.</t>
  </si>
  <si>
    <t>Néant — se met à jour automatiquement à partir de l'onglet 5. RESUME GAMME - CACV.</t>
  </si>
  <si>
    <t>Visualisation graphique de l'analyse Pareto — courbe cumulée du C.A par produit.</t>
  </si>
  <si>
    <t>Néant. Possibilité de grouper les produits aux caractéristiques proches (Marge brute) pour réduire la complexité d'analyse.</t>
  </si>
  <si>
    <t>Évalue la capacité de production mensuelle et les besoins en heures par recette selon la saisonnalité (détecte les goulots).</t>
  </si>
  <si>
    <t>Pour chaque produit, indiquer le coefficient de saisonnalité mensuel (0 = pas de production, 0,5 = demi-mois actif, 1 = pleine saison). Ajuster la colonne S (heures dispo MAX/semaine) selon les ressources réelles.</t>
  </si>
  <si>
    <t>Évalue les ressources et besoins en RH pour l'activité, mois par mois (détecte les goulots de main-d'œuvre).</t>
  </si>
  <si>
    <t>Liste exhaustive des ingrédients utilisés dans les recettes.</t>
  </si>
  <si>
    <t>Faire la liste exhaustive de tous les ingrédients et utiliser cette liste pour remplir les fiches techniques produits. Ne pas recopier une même ligne d'ingrédients dans plusieurs recettes. Attention : cette liste n'est pas liée automatiquement aux fiches.</t>
  </si>
  <si>
    <t>FT_PROD (1) à FT_PROD (8)</t>
  </si>
  <si>
    <t>Fiche technique par recette (jusqu'à 8 recettes paramétrées dans cette version).</t>
  </si>
  <si>
    <t>Remplir une fiche technique par produit. L'onglet peut être dupliqué pour ajouter des recettes supplémentaires.</t>
  </si>
  <si>
    <t xml:space="preserve">L'outil peut englober jusqu'à 16 fiches techniques. </t>
  </si>
  <si>
    <t>Remplir le dernier bilan comptable clôturé pour l'ensemble de l'entreprise, puis appliquer une clef de répartition unique à tous les postes (% de l'activité transformation dans l'entreprise globale), à l'EXCEPTION des postes RH et Amortissements qui doivent être renseignés spécifiquement pour l'activité de transformation.</t>
  </si>
  <si>
    <t>Détermine le chiffre d'affaires, les charges variables, la marge brute et la rentabilité pour l'ensemble des produits vendus sur l'année. Centralise les volumes (production / ventes B2B / B2C / rebuts) et les agrège vers les tableaux de bord (Pareto, Menu Engineering, Résultats).</t>
  </si>
  <si>
    <t>Identifie les produits qui génèrent l'essentiel du chiffre d'affaires (loi 80/20). Classe les références par C.A décroissant et calcule la part cumulée pour distinguer les produits stratégiques (top 20 %) des produits secondaires.</t>
  </si>
  <si>
    <t>Compte de résultat synthétique : agrège toutes les charges (fixes, variables, RH, amortissements, impôt) et les recettes sur base annuelle pour calculer le résultat d'exploitation, le résultat net et le cash flow disponible pour l'indépendant.</t>
  </si>
  <si>
    <t>Vue d'ensemble de la stratégie de gamme : place chaque produit selon sa contribution au C.A et sa Marge Brute (exprimée en %age du C.A).</t>
  </si>
  <si>
    <t>MOT DE PASSE pour dévérouiller les cellules : trèfle</t>
  </si>
  <si>
    <t>SIMULATEUR DE REDEVANCE DE CERTIFICATION BIO – AGW wallon 13/10/2022 (màj 11/10/2024)</t>
  </si>
  <si>
    <t>🔵 Cellules bleues = à saisir</t>
  </si>
  <si>
    <t>🟡 Cellules jaunes = résultats reportés automatiquement</t>
  </si>
  <si>
    <t>⚠ Ne pas modifier les cellules grises (barèmes AGW)</t>
  </si>
  <si>
    <t>A. PARAMÈTRES GÉNÉRAUX ET INDEXATION (AGW, Art. 7° – Annexe 4)</t>
  </si>
  <si>
    <t>Paramètre</t>
  </si>
  <si>
    <t>Valeur</t>
  </si>
  <si>
    <t>Remarque</t>
  </si>
  <si>
    <t>Date d'entrée sous contrôle bio</t>
  </si>
  <si>
    <t xml:space="preserve">Saisir la date de notification </t>
  </si>
  <si>
    <t>Date d'aujourd'hui</t>
  </si>
  <si>
    <t xml:space="preserve">Mettre à jour </t>
  </si>
  <si>
    <t>Nombre d'années sous contrôle bio</t>
  </si>
  <si>
    <t>Calculé automatiquement</t>
  </si>
  <si>
    <t>Index santé septembre 2021 (base 2013=100) – référence AGW</t>
  </si>
  <si>
    <t>Source: Statbel</t>
  </si>
  <si>
    <t>Index santé septembre de l'année précédente (base 2013=100)</t>
  </si>
  <si>
    <t>Source: Statbel – à mettre à jour chaque 1er janvier</t>
  </si>
  <si>
    <t>Coefficient d'indexation</t>
  </si>
  <si>
    <t>Taux MINIMUM de l'OC (base AGW : 0,153 €/point, indexé)</t>
  </si>
  <si>
    <t>Indexé automatiquement</t>
  </si>
  <si>
    <t>Taux MAXIMUM de l'OC (base AGW : 0,232 €/point, indexé)</t>
  </si>
  <si>
    <t>B. TYPES D'ACTIVITÉS EXERCÉES (cochez oui ou non pour chaque ligne)</t>
  </si>
  <si>
    <t>Activité bio</t>
  </si>
  <si>
    <t>Réponse</t>
  </si>
  <si>
    <t>Producteur agricole (végétal ou animal)</t>
  </si>
  <si>
    <t>oui</t>
  </si>
  <si>
    <t>Transformateur/préparateur (transforme des matières premières)</t>
  </si>
  <si>
    <t>Question complémentaire</t>
  </si>
  <si>
    <t>Si producteur ET préparateur : achète-t-il des produits agricoles à des fournisseurs externes ?</t>
  </si>
  <si>
    <t>pas d'application</t>
  </si>
  <si>
    <r>
      <t xml:space="preserve">Ces produits achetés sont-ils du même </t>
    </r>
    <r>
      <rPr>
        <sz val="10"/>
        <color theme="1"/>
        <rFont val="Arial"/>
        <family val="2"/>
      </rPr>
      <t>type</t>
    </r>
    <r>
      <rPr>
        <sz val="10"/>
        <color rgb="FF000000"/>
        <rFont val="Arial"/>
        <family val="2"/>
        <charset val="1"/>
      </rPr>
      <t xml:space="preserve"> que ceux qu'il cultive lui-même ?</t>
    </r>
  </si>
  <si>
    <t>Est-ce qu'au moins 75% en poids des produits agricoles utilisés viennent-ils de sa propre exploitation ?</t>
  </si>
  <si>
    <t>Nombre de fournisseurs différents par an (important pour distributeur préemballé)</t>
  </si>
  <si>
    <t>Résultat : Exemption redevance préparation ?</t>
  </si>
  <si>
    <t>⚠ EXEMPTION PRODUCTEUR-PRÉPARATEUR (AGW Art. 3.6°) : Un producteur qui transforme ses propres produits ne paie pas de redevance préparation si : (1) au moins 75% en poids des produits agricoles utilisés viennent de sa propre exploitation, ET (2) seuls les types de produits qu'il ne produit pas lui-même peuvent être achetés à l'extérieur.</t>
  </si>
  <si>
    <t>C. DONNÉES FINANCIÈRES</t>
  </si>
  <si>
    <t>Poste</t>
  </si>
  <si>
    <t>Montant</t>
  </si>
  <si>
    <t>Info</t>
  </si>
  <si>
    <t>Chiffre d'affaires biologique annuel (toutes activités bio confondues)</t>
  </si>
  <si>
    <t>Total des ventes bio annuelles de l'entreprise</t>
  </si>
  <si>
    <t>D. REDEVANCE PRÉPARATION / DISTRIBUTION / IMPORT-EXPORT – AGW Annexe 4, §3°</t>
  </si>
  <si>
    <t>Points pour le chiffre d'affaires biologique (par type d'activité)</t>
  </si>
  <si>
    <t>Transformateur/préparateur (CA complet)</t>
  </si>
  <si>
    <t>Total points CA</t>
  </si>
  <si>
    <t>L'activité est-elle mixte (bio et non-bio) ?</t>
  </si>
  <si>
    <t>non</t>
  </si>
  <si>
    <t>Nb – Si activité 100% bio</t>
  </si>
  <si>
    <t>Pts – Si activité 100% bio</t>
  </si>
  <si>
    <t>Nb – Si activité mixte</t>
  </si>
  <si>
    <t>Pts – Si activité mixte</t>
  </si>
  <si>
    <t>Nombre de sites d'activité bio</t>
  </si>
  <si>
    <t>Nombre de types d'ingrédients biologiques (préparation uniquement, hors emballage)</t>
  </si>
  <si>
    <t>Nombre de types de produits biologiques préparés ou importés</t>
  </si>
  <si>
    <t>Points ingrédients+produits plafonnés à 50% des points CA (préparation uniquement – AGW §3.3°)</t>
  </si>
  <si>
    <t>Seuils minimaux de points (AGW §3.4°) – par ordre de priorité</t>
  </si>
  <si>
    <t>Seuil minimal de base (4.750 pts indexés)</t>
  </si>
  <si>
    <t>Applicable par défaut</t>
  </si>
  <si>
    <t>Exception 1 : Préparateur avec CA bio ≤ 15.779€ indexés → 2.075 pts</t>
  </si>
  <si>
    <t>Priorité 1</t>
  </si>
  <si>
    <t>Exception 2 : Préparateur avec seuil &lt; 4.750 et &lt; 2 ans sous contrôle → 4.450 pts indexés</t>
  </si>
  <si>
    <t>Priorité 2</t>
  </si>
  <si>
    <t>SEUIL MINIMAL APPLICABLE AU CAS PRESENT</t>
  </si>
  <si>
    <t>Résultats – Redevance préparation / distribution / import-export</t>
  </si>
  <si>
    <t>TOTAL POINTS – Activités entièrement BIO</t>
  </si>
  <si>
    <t>TOTAL POINTS – Activités MIXTES (bio + non bio)</t>
  </si>
  <si>
    <t>Redevance minimale PRÉPARATION HTVA – Bio seul</t>
  </si>
  <si>
    <t>Redevance minimale PRÉPARATION HTVA – Mixte</t>
  </si>
  <si>
    <t>Redevance maximale PRÉPARATION HTVA – Bio seul</t>
  </si>
  <si>
    <t>Redevance maximale PRÉPARATION HTVA – Mixte</t>
  </si>
  <si>
    <t>MOYENNE (à titre indicatif)</t>
  </si>
  <si>
    <t>⚠ AVERTISSEMENT : Ces montants sont des estimations basées sur l'AGW du 13/10/2022 (màj 11/10/2024). Les OC peuvent fixer leurs tarifs entre le minimum et le maximum légal. Ce simulateur ne constitue pas une offre commerciale. Contactez votre organisme de contrôle pour un devis précis.</t>
  </si>
  <si>
    <t>E. BARÈMES DE RÉFÉRENCE (AGW Annexe 4 – ne pas modifier)</t>
  </si>
  <si>
    <t>E1. Barème chiffre d'affaires biologique – points par tranche de 6.311,5€ indexés (AGW §3.1°)</t>
  </si>
  <si>
    <t>Tranche min (€) indexée</t>
  </si>
  <si>
    <t>Tranche max (€) indexée</t>
  </si>
  <si>
    <t>Points / tranche</t>
  </si>
  <si>
    <t>Taille de tranche indexée (€)</t>
  </si>
  <si>
    <t>Redevance BIO</t>
  </si>
  <si>
    <t>Voir onglet "simulation"</t>
  </si>
  <si>
    <t>TYPE DE TACHE</t>
  </si>
  <si>
    <t>PROD PRIMAIRE</t>
  </si>
  <si>
    <t>TRANSFO</t>
  </si>
  <si>
    <t>MIXTE</t>
  </si>
  <si>
    <t>TOTAL</t>
  </si>
  <si>
    <t>Année de référence (52 semaines)</t>
  </si>
  <si>
    <t>PLANNING HEBDOMADAIRE DE PRODUCTION - BATCHS PAR SEMAINE (répartis selon la saisonnalité)</t>
  </si>
  <si>
    <t>Nb semaines / mois</t>
  </si>
  <si>
    <t>N° sem.</t>
  </si>
  <si>
    <t>Total batchs</t>
  </si>
  <si>
    <t>Date début</t>
  </si>
  <si>
    <t>Mois n°</t>
  </si>
  <si>
    <t>Rang sem. / mois</t>
  </si>
  <si>
    <t>Heures requises</t>
  </si>
  <si>
    <t>Heures dispo</t>
  </si>
  <si>
    <t>Ratio charge</t>
  </si>
  <si>
    <t>TOTAL ANNÉE (52 semaines)</t>
  </si>
  <si>
    <t>Contrôle vs objectif batchs (ligne 14)</t>
  </si>
  <si>
    <t>Autre 4</t>
  </si>
  <si>
    <t>Autre 5</t>
  </si>
  <si>
    <t>RH nécessaire à la transformation moyenne lissée sur année</t>
  </si>
  <si>
    <t>H/semaine</t>
  </si>
  <si>
    <t xml:space="preserve">Indiquer ici pour chaque mois, le plafond maximum de main d'œuvre hebdomadaire que je peux allouer à la transformation </t>
  </si>
  <si>
    <t>Indiquer ici : Pourcentage de production pour chaque produit selon le mois (0% = pas de production) ; (100% = production en pleine saison)</t>
  </si>
  <si>
    <t xml:space="preserve">PART TRANSFO </t>
  </si>
  <si>
    <t>Calcul allocation des ressources entre Prod Primaire et Transformation</t>
  </si>
  <si>
    <t xml:space="preserve">Semis </t>
  </si>
  <si>
    <t>Production des batchs</t>
  </si>
  <si>
    <t>Encoder ici en nombre de jour semaine les différentes taches nécessaires</t>
  </si>
  <si>
    <t>Encoder ici en nombre de jour semaine les différentes ressources disponibles dans l'ensemble de votre exploitation</t>
  </si>
  <si>
    <t>SOMME ANNUELLE</t>
  </si>
  <si>
    <t>SUR TOTAUX ANNUELS</t>
  </si>
  <si>
    <t>Cette clef de répartition est utilisée pour calculer le cout RH strictement lié à la de trasformation dans les charges fixes</t>
  </si>
  <si>
    <t>Indep 1 (se rémunère sur le résultat)</t>
  </si>
  <si>
    <t>Indep 2 (se rémunère sur le résultat)</t>
  </si>
  <si>
    <t>Indiquer le revenu total de la ferme (transfo + production primaire)</t>
  </si>
  <si>
    <t>Bénéfice d'exploitation (transformation)</t>
  </si>
  <si>
    <t>Indiquer le total des amortissements comptables de la ferme (transfo + production primaire)</t>
  </si>
  <si>
    <t>Bénéfice d'exploitation - production primaire (hors transfo)</t>
  </si>
  <si>
    <t>INFORMATIONS COMPTABLES FERME (TOUTES ACTIVITES CONFONDUES)</t>
  </si>
  <si>
    <t>ANNEE DE REFERENCE</t>
  </si>
  <si>
    <t>Amortissements totaux</t>
  </si>
  <si>
    <t>Par défaut, les deux dernières années sont = au dernier exercice comptable</t>
  </si>
  <si>
    <t>IMPOSITION ET COTISATIONS SOCIALES CALCULEES SUR LA FERME DANS SON ENTIERETE</t>
  </si>
  <si>
    <t>Amortissements liés à la transformation</t>
  </si>
  <si>
    <t>Amortissements liés à la production primaire uniquement</t>
  </si>
  <si>
    <t>Amortissements total ferme - voir données de base</t>
  </si>
  <si>
    <t>Remboursements de crédits et autres dettes professionnelles (hors intérêts)</t>
  </si>
  <si>
    <t>Si vous possedez les données pour les deux prochaines années, vous pouvez les indiquer ici</t>
  </si>
  <si>
    <t>Remboursement capital des crédits et dettes professionnelles</t>
  </si>
  <si>
    <t>Benefice d'exploitation  (total ferme) - voir données de base</t>
  </si>
  <si>
    <t>Bénéfice courant avant impôt  = bénéfice d'exploitation ferme</t>
  </si>
  <si>
    <t>ISOC - Impôt Société - Mettre à 0  si vous exercez en tant qu'indépendant</t>
  </si>
  <si>
    <t>Imposition (ISOC + INASTI + IPP)</t>
  </si>
  <si>
    <t>Bénéfice net</t>
  </si>
  <si>
    <t>Rapport bénérfice net / bénéfice d'exploitation</t>
  </si>
  <si>
    <t>STATUT INDEPENDANT</t>
  </si>
  <si>
    <t>STATUT SOCIAL</t>
  </si>
  <si>
    <t>À sélectionner pour chaque indépendant</t>
  </si>
  <si>
    <t>Indépendant à titre principal</t>
  </si>
  <si>
    <t>MOTEUR PAR INDEPENDANT — REPARTITION, INASTI ET IPP</t>
  </si>
  <si>
    <t>Année</t>
  </si>
  <si>
    <t>Bénéfice d'exploitation ferme (€)</t>
  </si>
  <si>
    <t>ISOC retenu (onglet 11) (€)</t>
  </si>
  <si>
    <t>Base à répartir entre indépendants (€)</t>
  </si>
  <si>
    <t>ETP — Indépendant 1</t>
  </si>
  <si>
    <t>ETP — Indépendant 2</t>
  </si>
  <si>
    <t>Total ETP indépendants</t>
  </si>
  <si>
    <t>Statut — Indépendant 1</t>
  </si>
  <si>
    <t>Statut — Indépendant 2</t>
  </si>
  <si>
    <t>Quote-part — Indépendant 1</t>
  </si>
  <si>
    <t>Quote-part — Indépendant 2</t>
  </si>
  <si>
    <t>Plafond optionnel de quote-part conjoint aidant (€) — vide = aucun</t>
  </si>
  <si>
    <t>Revenu professionnel attribué — Indépendant 2 (€)</t>
  </si>
  <si>
    <t>Revenu professionnel attribué — Indépendant 1 (€)</t>
  </si>
  <si>
    <t>COTISATIONS SOCIALES INASTI — CALCUL PAR INDEPENDANT</t>
  </si>
  <si>
    <t>Revenu de base — Indépendant 1 (€)</t>
  </si>
  <si>
    <t>Cotisation brute</t>
  </si>
  <si>
    <t>Cotisation avant minimum / plafond</t>
  </si>
  <si>
    <t>INASTI dû — Indépendant 1 (€)</t>
  </si>
  <si>
    <t>Revenu de base — Indépendant 2 (€)</t>
  </si>
  <si>
    <t>INASTI dû — Indépendant 2 (€)</t>
  </si>
  <si>
    <t>IMPOT DES PERSONNES PHYSIQUES (IPP) — CALCUL PAR INDEPENDANT</t>
  </si>
  <si>
    <t>moins cotisations sociales INASTI (€)</t>
  </si>
  <si>
    <t>Revenu imposable (€)</t>
  </si>
  <si>
    <t>Impôt de base</t>
  </si>
  <si>
    <t>Quotité de revenus exemptée d'impôt (€)</t>
  </si>
  <si>
    <t>Majoration exemption / personnes à charge (€) — à encoder</t>
  </si>
  <si>
    <t>Total quotité exemptée (€)</t>
  </si>
  <si>
    <t>Réduction d'impôt sur la quotité exemptée (€)</t>
  </si>
  <si>
    <t>IPP dû — Indépendant 1 (€)</t>
  </si>
  <si>
    <t>IPP dû — Indépendant 2 (€)</t>
  </si>
  <si>
    <t>TOTAUX CONSOLIDES — TOUS LES INDEPENDANTS</t>
  </si>
  <si>
    <t>Total cotisations sociales INASTI (€)</t>
  </si>
  <si>
    <t>Total impôt des personnes physiques IPP (€)</t>
  </si>
  <si>
    <t>Total INASTI + IPP (€)</t>
  </si>
  <si>
    <t>Bénéfice net après ISOC, INASTI et IPP (€)</t>
  </si>
  <si>
    <t>Taux de prélèvement global / bénéfice d'exploitation</t>
  </si>
  <si>
    <t>Cotisations sociales INASTI (tous les indépendants)</t>
  </si>
  <si>
    <t>IMPOSITION PERSONNE PHYSIQUE - IPP (tous les indépendants)</t>
  </si>
  <si>
    <t>REVENU NET ET REVENU NET HORAIRE PAR INDEPENDANT</t>
  </si>
  <si>
    <t>HYPOTHESES DE TEMPS DE TRAVAIL</t>
  </si>
  <si>
    <t>Heures de travail par ETP et par semaine</t>
  </si>
  <si>
    <t>Heures annuelles pour 1,00 ETP</t>
  </si>
  <si>
    <t>INDEPENDANT 1</t>
  </si>
  <si>
    <t>Statut social</t>
  </si>
  <si>
    <t>ETP moyen annuel</t>
  </si>
  <si>
    <t>Heures travaillées par an</t>
  </si>
  <si>
    <t>Revenu professionnel attribué (€)</t>
  </si>
  <si>
    <t>moins impôt des personnes physiques IPP (€)</t>
  </si>
  <si>
    <t>REVENU NET ANNUEL (€)</t>
  </si>
  <si>
    <t>Revenu net mensuel (€)</t>
  </si>
  <si>
    <t>REVENU NET HORAIRE (€/h)</t>
  </si>
  <si>
    <t>INDEPENDANT 2</t>
  </si>
  <si>
    <t>TOTAL / MOYENNE FERME</t>
  </si>
  <si>
    <t>Total heures travaillées par les indépendants</t>
  </si>
  <si>
    <t>Total revenu net des indépendants (€)</t>
  </si>
  <si>
    <t>Revenu net horaire moyen (€/h)</t>
  </si>
  <si>
    <t>Semaines travaillées par an (hors congés)</t>
  </si>
  <si>
    <t>Conjoint aidant (maxi-statut)</t>
  </si>
  <si>
    <t>La répartition des revenus se fait selon les heures travaillées (avant les prélèvements INASTI et IPP)</t>
  </si>
  <si>
    <t>Simulateur redevance BIO</t>
  </si>
  <si>
    <t>Simule la redevance annuelle de certification biologique due à l'organisme de contrôle, sur base de l'AGW wallon du 13/10/2022 (mise à jour du 11/10/2024) : indexation des taux, types d'activités exercées et calcul du montant minimum / maximum.</t>
  </si>
  <si>
    <t>À compléter uniquement si l'exploitation est sous contrôle bio. Mettre à jour la date de notification, la date du jour et l'index santé de septembre de l'année précédente (source Statbel, à actualiser chaque 1er janvier), puis répondre aux questions sur les activités exercées. Ne pas modifier les barèmes AGW (cellules grises). Onglet autonome : il n'alimente pas automatiquement les autres onglets.</t>
  </si>
  <si>
    <t>Calcule l'impôt lié à l'activité, en deux parties. Lignes 1 à 8 : l'impôt des sociétés (ISOC). Lignes 10 à 82 : un moteur de calcul par indépendant, qui répartit le bénéfice entre les indépendants de la structure, puis calcule pour chacun ses cotisations sociales INASTI et son impôt des personnes physiques (IPP), avant consolidation. Les barèmes fiscaux et sociaux figurent dans les colonnes G à J.</t>
  </si>
  <si>
    <t>Vérifier les barèmes (colonnes G à J) et leur année de référence. Le statut de chaque indépendant se choisit dans l'onglet 10. BESOIN RH mensuel (cellules R4 et R5) ; la répartition du revenu se fait automatiquement au prorata des ETP. Compléter si nécessaire le plafond de quote-part du conjoint aidant (B25) et les majorations de quotité exemptée pour personnes à charge (lignes 58 et 72). Les totaux consolidés (lignes 78 et 79) alimentent l'onglet 11. Résultats.</t>
  </si>
  <si>
    <t>15. REVENU NET HORAIRE</t>
  </si>
  <si>
    <t>Calcule, pour chaque indépendant, le revenu net annuel, mensuel et horaire après cotisations INASTI et impôt des personnes physiques, à partir des onglets 11. Résultats et 14. CALCUL IMPOT et du temps de travail issu de l'onglet 10. BESOIN RH mensuel.</t>
  </si>
  <si>
    <t>Vérifier les deux hypothèses de temps de travail : nombre d'heures par semaine pour 1,0 ETP (B4) et nombre de semaines travaillées par an (B5). Tout le reste du tableau est calculé automatiquement. Un revenu horaire négatif signale généralement un statut mal choisi dans l'onglet 10 (cotisation minimum supérieure à la quote-part attribuée).</t>
  </si>
  <si>
    <t>Listes</t>
  </si>
  <si>
    <t>Feuille technique : contient les listes de valeurs utilisées par les menus déroulants du fichier (unités, catégories, etc.).</t>
  </si>
  <si>
    <t>Néant. Feuille protégée par mot de passe (trèfle) : ne modifier les listes que si vous ajoutez de nouvelles valeurs de choix.</t>
  </si>
  <si>
    <t>Indiquer d'éventuels subsides liés à l'activité (hors PAC). Les cotisations sociales INASTI et l'impôt des personnes physiques sont repris automatiquement de l'onglet 14. CALCUL IMPOT. Le revenu net par indépendant, y compris le revenu horaire, est détaillé dans l'onglet 15. REVENU NET HORAIRE.</t>
  </si>
  <si>
    <t>Sur base mensuelle, indiquer les ressources humaines disponibles et leur allocation par poste d'activité. Le ratio d'utilisation est affiché en bas du tableau. Indiquer également le statut social de chaque indépendant dans les cellules R4 et R5 (indépendant à titre principal, à titre complémentaire, conjoint aidant ou néant) : ce choix pilote le calcul des cotisations INASTI dans l'onglet 14. CALCUL IMPOT.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</si>
</sst>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4" formatCode="_-* #,##0.00\ &quot;€&quot;_-;\-* #,##0.00\ &quot;€&quot;_-;_-* &quot;-&quot;??\ &quot;€&quot;_-;_-@_-"/>
    <numFmt numFmtId="164" formatCode="#,##0.00\ &quot;€&quot;"/>
    <numFmt numFmtId="165" formatCode="0.000"/>
    <numFmt numFmtId="166" formatCode="_-* #,##0.00\ [$€-40C]_-;\-* #,##0.00\ [$€-40C]_-;_-* &quot;-&quot;??\ [$€-40C]_-;_-@_-"/>
    <numFmt numFmtId="167" formatCode="0.000%"/>
    <numFmt numFmtId="168" formatCode="_-* #,##0.00\ _€_-;\-* #,##0.00\ _€_-;_-* &quot;-&quot;??\ _€_-;_-@_-"/>
    <numFmt numFmtId="169" formatCode="_-* #,##0.00\ [$€-80C]_-;\-* #,##0.00\ [$€-80C]_-;_-* &quot;-&quot;??\ [$€-80C]_-;_-@_-"/>
    <numFmt numFmtId="170" formatCode="_(* #,##0.00_);_(* \(#,##0.00\);_(* &quot;-&quot;??_);_(@_)"/>
    <numFmt numFmtId="171" formatCode="_-* #,##0\ [$€-40C]_-;\-* #,##0\ [$€-40C]_-;_-* &quot;-&quot;??\ [$€-40C]_-;_-@_-"/>
    <numFmt numFmtId="172" formatCode="_(&quot;$&quot;* #,##0.00_);_(&quot;$&quot;* \(#,##0.00\);_(&quot;$&quot;* &quot;-&quot;??_);_(@_)"/>
    <numFmt numFmtId="173" formatCode="0.0%"/>
    <numFmt numFmtId="174" formatCode="#,##0.000\ &quot;€&quot;"/>
    <numFmt numFmtId="175" formatCode="#,##0\ &quot;€&quot;"/>
    <numFmt numFmtId="176" formatCode="[$€-2]\ #,##0.00"/>
    <numFmt numFmtId="177" formatCode="_-* #,##0\ [$€-40C]_-;\-* #,##0\ [$€-40C]_-;_-* &quot;-&quot;??\ [$€-40C]_-;_-@"/>
    <numFmt numFmtId="178" formatCode="_-* #,##0.0\ &quot;€&quot;_-;\-* #,##0.0\ &quot;€&quot;_-;_-* &quot;-&quot;??\ &quot;€&quot;_-;_-@_-"/>
    <numFmt numFmtId="179" formatCode="#,##0\ \€;\(#,##0\ \€\);\-"/>
    <numFmt numFmtId="180" formatCode="#,##0.0\ \€&quot;/h&quot;"/>
    <numFmt numFmtId="181" formatCode="#,##0\ \€"/>
    <numFmt numFmtId="182" formatCode="0&quot; h&quot;"/>
    <numFmt numFmtId="183" formatCode="0.0"/>
    <numFmt numFmtId="184" formatCode="0.0&quot; h&quot;"/>
    <numFmt numFmtId="185" formatCode="dd/mm/yyyy"/>
    <numFmt numFmtId="186" formatCode="0.0000&quot; €/pt&quot;"/>
    <numFmt numFmtId="187" formatCode="#,##0&quot; €&quot;"/>
    <numFmt numFmtId="188" formatCode="#,##0.00&quot; €&quot;"/>
    <numFmt numFmtId="189" formatCode="0;\-0;&quot;-&quot;"/>
    <numFmt numFmtId="190" formatCode="0.0;\-0.0;&quot;-&quot;"/>
    <numFmt numFmtId="191" formatCode="&quot;€&quot;#,##0;\(&quot;€&quot;#,##0\);\-"/>
  </numFmts>
  <fonts count="96">
    <font>
      <sz val="11"/>
      <color theme="1"/>
      <name val="Aptos Narrow"/>
      <family val="2"/>
      <scheme val="minor"/>
    </font>
    <font>
      <b/>
      <sz val="10"/>
      <name val="Arial"/>
      <family val="2"/>
    </font>
    <font>
      <sz val="10"/>
      <name val="Arial"/>
      <family val="2"/>
    </font>
    <font>
      <i/>
      <sz val="32"/>
      <name val="Aptos Display"/>
      <family val="1"/>
      <scheme val="major"/>
    </font>
    <font>
      <sz val="26"/>
      <name val="Arial"/>
      <family val="2"/>
    </font>
    <font>
      <b/>
      <i/>
      <sz val="11"/>
      <color theme="6" tint="-0.249977111117893"/>
      <name val="Arial"/>
      <family val="2"/>
    </font>
    <font>
      <sz val="14"/>
      <name val="Arial"/>
      <family val="2"/>
    </font>
    <font>
      <b/>
      <sz val="11"/>
      <name val="Arial"/>
      <family val="2"/>
    </font>
    <font>
      <sz val="11"/>
      <name val="Arial"/>
      <family val="2"/>
    </font>
    <font>
      <b/>
      <i/>
      <sz val="11"/>
      <name val="Arial"/>
      <family val="2"/>
    </font>
    <font>
      <b/>
      <sz val="12"/>
      <name val="Arial"/>
      <family val="2"/>
    </font>
    <font>
      <sz val="11"/>
      <color theme="1"/>
      <name val="Aptos Narrow"/>
      <family val="2"/>
      <scheme val="minor"/>
    </font>
    <font>
      <sz val="10"/>
      <color rgb="FF000000"/>
      <name val="Arial1"/>
    </font>
    <font>
      <b/>
      <sz val="10"/>
      <color rgb="FF000000"/>
      <name val="Arial1"/>
    </font>
    <font>
      <b/>
      <sz val="11"/>
      <color theme="1"/>
      <name val="Aptos Narrow"/>
      <family val="2"/>
      <scheme val="minor"/>
    </font>
    <font>
      <sz val="10"/>
      <name val="Arial"/>
      <family val="2"/>
    </font>
    <font>
      <sz val="10"/>
      <name val="Calibri"/>
      <family val="2"/>
    </font>
    <font>
      <b/>
      <sz val="10"/>
      <name val="Calibri"/>
      <family val="2"/>
    </font>
    <font>
      <sz val="10"/>
      <name val="Calibri Light"/>
      <family val="2"/>
    </font>
    <font>
      <b/>
      <sz val="14"/>
      <name val="Calibri Light"/>
      <family val="2"/>
    </font>
    <font>
      <sz val="10"/>
      <name val="Trebuchet MS"/>
      <family val="2"/>
    </font>
    <font>
      <b/>
      <sz val="10"/>
      <name val="Calibri Light"/>
      <family val="2"/>
    </font>
    <font>
      <b/>
      <sz val="10"/>
      <color rgb="FFFF0000"/>
      <name val="Calibri Light"/>
      <family val="2"/>
    </font>
    <font>
      <b/>
      <i/>
      <sz val="10"/>
      <name val="Calibri Light"/>
      <family val="2"/>
    </font>
    <font>
      <u/>
      <sz val="10"/>
      <color rgb="FFFF0000"/>
      <name val="Calibri Light"/>
      <family val="2"/>
    </font>
    <font>
      <sz val="8"/>
      <name val="Aptos Narrow"/>
      <family val="2"/>
      <scheme val="minor"/>
    </font>
    <font>
      <b/>
      <sz val="10"/>
      <name val="Verdana"/>
      <family val="2"/>
    </font>
    <font>
      <sz val="10"/>
      <name val="Verdana"/>
      <family val="2"/>
    </font>
    <font>
      <b/>
      <sz val="11"/>
      <name val="Calibri Light"/>
      <family val="2"/>
    </font>
    <font>
      <sz val="8"/>
      <name val="Calibri Light"/>
      <family val="2"/>
    </font>
    <font>
      <sz val="11"/>
      <name val="Calibri Light"/>
      <family val="2"/>
    </font>
    <font>
      <sz val="9"/>
      <name val="Calibri Light"/>
      <family val="2"/>
    </font>
    <font>
      <sz val="10"/>
      <color theme="1"/>
      <name val="Arial"/>
      <family val="2"/>
    </font>
    <font>
      <b/>
      <sz val="9"/>
      <name val="Calibri Light"/>
      <family val="2"/>
    </font>
    <font>
      <b/>
      <sz val="10"/>
      <color theme="0"/>
      <name val="Calibri Light"/>
      <family val="2"/>
    </font>
    <font>
      <b/>
      <sz val="12"/>
      <name val="Calibri Light"/>
      <family val="2"/>
    </font>
    <font>
      <sz val="10"/>
      <color rgb="FFFF0000"/>
      <name val="Calibri Light"/>
      <family val="2"/>
    </font>
    <font>
      <i/>
      <sz val="10"/>
      <color theme="0" tint="-0.499984740745262"/>
      <name val="Calibri Light"/>
      <family val="2"/>
    </font>
    <font>
      <b/>
      <sz val="10"/>
      <color indexed="10"/>
      <name val="Calibri Light"/>
      <family val="2"/>
    </font>
    <font>
      <u/>
      <sz val="10"/>
      <name val="Calibri Light"/>
      <family val="2"/>
    </font>
    <font>
      <sz val="10"/>
      <color theme="1"/>
      <name val="Calibri Light"/>
      <family val="2"/>
    </font>
    <font>
      <b/>
      <sz val="10"/>
      <color theme="9"/>
      <name val="Calibri Light"/>
      <family val="2"/>
    </font>
    <font>
      <u/>
      <sz val="10"/>
      <color theme="10"/>
      <name val="Arial"/>
      <family val="2"/>
    </font>
    <font>
      <sz val="10"/>
      <color theme="1"/>
      <name val="Calibri"/>
      <family val="2"/>
    </font>
    <font>
      <b/>
      <sz val="10"/>
      <color theme="1"/>
      <name val="Calibri"/>
      <family val="2"/>
    </font>
    <font>
      <sz val="8"/>
      <color theme="1"/>
      <name val="Calibri"/>
      <family val="2"/>
    </font>
    <font>
      <b/>
      <sz val="14"/>
      <color theme="1"/>
      <name val="Aptos Narrow"/>
      <family val="2"/>
      <scheme val="minor"/>
    </font>
    <font>
      <b/>
      <sz val="11"/>
      <color rgb="FFFFFFFF"/>
      <name val="Aptos Narrow"/>
      <family val="2"/>
      <scheme val="minor"/>
    </font>
    <font>
      <b/>
      <sz val="12"/>
      <color theme="1"/>
      <name val="Calibri Light"/>
      <family val="2"/>
    </font>
    <font>
      <sz val="10"/>
      <color rgb="FF000000"/>
      <name val="Calibri"/>
      <family val="2"/>
    </font>
    <font>
      <b/>
      <sz val="11"/>
      <color theme="1"/>
      <name val="Aptos Narrow"/>
      <scheme val="minor"/>
    </font>
    <font>
      <b/>
      <sz val="11"/>
      <color rgb="FF000000"/>
      <name val="Aptos Narrow"/>
    </font>
    <font>
      <i/>
      <sz val="11"/>
      <color theme="1"/>
      <name val="Aptos Narrow"/>
      <family val="2"/>
      <scheme val="minor"/>
    </font>
    <font>
      <b/>
      <sz val="10"/>
      <color theme="1"/>
      <name val="Aptos Narrow"/>
      <family val="2"/>
      <scheme val="minor"/>
    </font>
    <font>
      <b/>
      <sz val="9"/>
      <color theme="1"/>
      <name val="Aptos Narrow"/>
      <family val="2"/>
      <scheme val="minor"/>
    </font>
    <font>
      <sz val="9"/>
      <color indexed="81"/>
      <name val="Tahoma"/>
      <family val="2"/>
    </font>
    <font>
      <b/>
      <sz val="9"/>
      <color indexed="81"/>
      <name val="Tahoma"/>
      <family val="2"/>
    </font>
    <font>
      <sz val="11"/>
      <color rgb="FF000000"/>
      <name val="Aptos Narrow"/>
      <family val="2"/>
      <scheme val="minor"/>
    </font>
    <font>
      <b/>
      <sz val="11"/>
      <color rgb="FF000000"/>
      <name val="Aptos Narrow"/>
      <family val="2"/>
      <scheme val="minor"/>
    </font>
    <font>
      <sz val="11"/>
      <color theme="1"/>
      <name val="Calibri"/>
      <family val="2"/>
      <charset val="1"/>
    </font>
    <font>
      <b/>
      <sz val="13"/>
      <color rgb="FFFFFFFF"/>
      <name val="Arial"/>
      <charset val="1"/>
    </font>
    <font>
      <i/>
      <sz val="9"/>
      <color rgb="FF00008B"/>
      <name val="Arial"/>
      <charset val="1"/>
    </font>
    <font>
      <i/>
      <sz val="9"/>
      <color rgb="FF856404"/>
      <name val="Arial"/>
      <charset val="1"/>
    </font>
    <font>
      <i/>
      <sz val="9"/>
      <color rgb="FF000000"/>
      <name val="Arial"/>
      <family val="2"/>
      <charset val="1"/>
    </font>
    <font>
      <b/>
      <sz val="10"/>
      <color rgb="FFFFFFFF"/>
      <name val="Arial"/>
      <charset val="1"/>
    </font>
    <font>
      <sz val="10"/>
      <color rgb="FF000000"/>
      <name val="Arial"/>
      <charset val="1"/>
    </font>
    <font>
      <sz val="10"/>
      <name val="Arial"/>
      <family val="2"/>
      <charset val="1"/>
    </font>
    <font>
      <sz val="10"/>
      <color rgb="FF000000"/>
      <name val="Arial"/>
      <family val="2"/>
    </font>
    <font>
      <sz val="10"/>
      <color rgb="FF002060"/>
      <name val="Arial"/>
      <family val="2"/>
      <charset val="1"/>
    </font>
    <font>
      <b/>
      <sz val="10"/>
      <color rgb="FF000000"/>
      <name val="Arial"/>
      <charset val="1"/>
    </font>
    <font>
      <sz val="10"/>
      <name val="Arial"/>
      <charset val="1"/>
    </font>
    <font>
      <b/>
      <sz val="10"/>
      <color rgb="FF002060"/>
      <name val="Arial"/>
      <family val="2"/>
      <charset val="1"/>
    </font>
    <font>
      <b/>
      <sz val="10"/>
      <color rgb="FFFFFFFF"/>
      <name val="Arial"/>
      <family val="2"/>
      <charset val="1"/>
    </font>
    <font>
      <sz val="10"/>
      <color rgb="FF000000"/>
      <name val="Arial"/>
      <family val="2"/>
      <charset val="1"/>
    </font>
    <font>
      <b/>
      <sz val="10"/>
      <color rgb="FF000000"/>
      <name val="Arial"/>
      <family val="2"/>
      <charset val="1"/>
    </font>
    <font>
      <b/>
      <sz val="10"/>
      <color rgb="FFFF0000"/>
      <name val="Arial"/>
      <family val="2"/>
      <charset val="1"/>
    </font>
    <font>
      <i/>
      <sz val="9"/>
      <color rgb="FF7B241C"/>
      <name val="Arial"/>
      <family val="2"/>
      <charset val="1"/>
    </font>
    <font>
      <sz val="10"/>
      <color rgb="FF00008B"/>
      <name val="Arial"/>
      <charset val="1"/>
    </font>
    <font>
      <b/>
      <sz val="10"/>
      <name val="Arial"/>
      <family val="2"/>
      <charset val="1"/>
    </font>
    <font>
      <sz val="11"/>
      <color rgb="FF008000"/>
      <name val="Aptos Narrow"/>
      <family val="2"/>
      <scheme val="minor"/>
    </font>
    <font>
      <sz val="12"/>
      <color theme="1"/>
      <name val="Aptos Narrow"/>
      <family val="2"/>
      <scheme val="minor"/>
    </font>
    <font>
      <b/>
      <sz val="12"/>
      <color theme="1"/>
      <name val="Aptos Narrow"/>
      <family val="2"/>
      <scheme val="minor"/>
    </font>
    <font>
      <sz val="9"/>
      <color theme="1"/>
      <name val="Aptos Narrow"/>
      <family val="2"/>
      <scheme val="minor"/>
    </font>
    <font>
      <sz val="9"/>
      <color indexed="81"/>
      <name val="Tahoma"/>
      <charset val="1"/>
    </font>
    <font>
      <b/>
      <sz val="9"/>
      <color indexed="81"/>
      <name val="Tahoma"/>
      <charset val="1"/>
    </font>
    <font>
      <b/>
      <sz val="11"/>
      <color theme="1"/>
      <name val="Calibri"/>
      <family val="2"/>
    </font>
    <font>
      <sz val="14"/>
      <color theme="1"/>
      <name val="Aptos Narrow"/>
      <family val="2"/>
      <scheme val="minor"/>
    </font>
    <font>
      <sz val="10"/>
      <color theme="1"/>
      <name val="Calibri Light"/>
    </font>
    <font>
      <sz val="10"/>
      <name val="Calibri Light"/>
    </font>
    <font>
      <b/>
      <sz val="10"/>
      <color theme="1"/>
      <name val="Calibri Light"/>
      <family val="2"/>
    </font>
    <font>
      <b/>
      <sz val="10"/>
      <color rgb="FFFFFFFF"/>
      <name val="Calibri Light"/>
      <family val="2"/>
    </font>
    <font>
      <i/>
      <sz val="10"/>
      <color rgb="FF808080"/>
      <name val="Calibri Light"/>
      <family val="2"/>
    </font>
    <font>
      <b/>
      <sz val="10"/>
      <color rgb="FF000000"/>
      <name val="Calibri Light"/>
      <family val="2"/>
    </font>
    <font>
      <sz val="10"/>
      <color rgb="FF000000"/>
      <name val="Calibri Light"/>
      <family val="2"/>
    </font>
    <font>
      <b/>
      <i/>
      <sz val="10"/>
      <color rgb="FF000000"/>
      <name val="Calibri Light"/>
      <family val="2"/>
    </font>
    <font>
      <b/>
      <sz val="14"/>
      <color rgb="FF000000"/>
      <name val="Calibri Light"/>
      <family val="2"/>
    </font>
  </fonts>
  <fills count="48">
    <fill>
      <patternFill patternType="none"/>
    </fill>
    <fill>
      <patternFill patternType="gray125"/>
    </fill>
    <fill>
      <patternFill patternType="solid">
        <fgColor rgb="FFFFFF00"/>
        <bgColor indexed="64"/>
      </patternFill>
    </fill>
    <fill>
      <patternFill patternType="solid">
        <fgColor rgb="FFFFFFFF"/>
        <bgColor rgb="FFFFFFFF"/>
      </patternFill>
    </fill>
    <fill>
      <patternFill patternType="solid">
        <fgColor theme="5"/>
        <bgColor indexed="64"/>
      </patternFill>
    </fill>
    <fill>
      <patternFill patternType="solid">
        <fgColor theme="6"/>
        <bgColor indexed="64"/>
      </patternFill>
    </fill>
    <fill>
      <patternFill patternType="solid">
        <fgColor theme="0" tint="-0.14999847407452621"/>
        <bgColor indexed="64"/>
      </patternFill>
    </fill>
    <fill>
      <patternFill patternType="solid">
        <fgColor rgb="FFF1CB6F"/>
        <bgColor rgb="FF000000"/>
      </patternFill>
    </fill>
    <fill>
      <patternFill patternType="solid">
        <fgColor rgb="FF9DB4D9"/>
        <bgColor rgb="FF000000"/>
      </patternFill>
    </fill>
    <fill>
      <patternFill patternType="solid">
        <fgColor rgb="FFACD7CA"/>
        <bgColor rgb="FF000000"/>
      </patternFill>
    </fill>
    <fill>
      <patternFill patternType="solid">
        <fgColor rgb="FF9DB4D9"/>
        <bgColor indexed="64"/>
      </patternFill>
    </fill>
    <fill>
      <patternFill patternType="solid">
        <fgColor theme="0" tint="-0.34998626667073579"/>
        <bgColor indexed="64"/>
      </patternFill>
    </fill>
    <fill>
      <patternFill patternType="solid">
        <fgColor indexed="9"/>
        <bgColor indexed="64"/>
      </patternFill>
    </fill>
    <fill>
      <patternFill patternType="solid">
        <fgColor theme="0" tint="-4.9989318521683403E-2"/>
        <bgColor indexed="64"/>
      </patternFill>
    </fill>
    <fill>
      <patternFill patternType="solid">
        <fgColor rgb="FFF1CB6F"/>
        <bgColor indexed="64"/>
      </patternFill>
    </fill>
    <fill>
      <patternFill patternType="solid">
        <fgColor rgb="FFACD7CA"/>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1CB6F"/>
        <bgColor rgb="FFFFFFFF"/>
      </patternFill>
    </fill>
    <fill>
      <patternFill patternType="solid">
        <fgColor rgb="FF008290"/>
        <bgColor indexed="64"/>
      </patternFill>
    </fill>
    <fill>
      <patternFill patternType="solid">
        <fgColor theme="9" tint="-0.249977111117893"/>
        <bgColor indexed="64"/>
      </patternFill>
    </fill>
    <fill>
      <patternFill patternType="solid">
        <fgColor indexed="22"/>
        <bgColor indexed="64"/>
      </patternFill>
    </fill>
    <fill>
      <patternFill patternType="solid">
        <fgColor rgb="FFFFFFFF"/>
        <bgColor indexed="64"/>
      </patternFill>
    </fill>
    <fill>
      <patternFill patternType="solid">
        <fgColor rgb="FF9DB4D9"/>
        <bgColor rgb="FFFFFFFF"/>
      </patternFill>
    </fill>
    <fill>
      <patternFill patternType="solid">
        <fgColor rgb="FFD9E1F2"/>
        <bgColor indexed="64"/>
      </patternFill>
    </fill>
    <fill>
      <patternFill patternType="solid">
        <fgColor theme="0"/>
        <bgColor indexed="64"/>
      </patternFill>
    </fill>
    <fill>
      <patternFill patternType="solid">
        <fgColor rgb="FF1F4E78"/>
        <bgColor indexed="64"/>
      </patternFill>
    </fill>
    <fill>
      <patternFill patternType="solid">
        <fgColor theme="1"/>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rgb="FF1A5276"/>
        <bgColor rgb="FF1F618D"/>
      </patternFill>
    </fill>
    <fill>
      <patternFill patternType="solid">
        <fgColor rgb="FFD6EAF8"/>
        <bgColor rgb="FFEAF2FF"/>
      </patternFill>
    </fill>
    <fill>
      <patternFill patternType="solid">
        <fgColor rgb="FFFEF9E7"/>
        <bgColor rgb="FFF2F3F4"/>
      </patternFill>
    </fill>
    <fill>
      <patternFill patternType="solid">
        <fgColor rgb="FFF2F3F4"/>
        <bgColor rgb="FFF2F2F2"/>
      </patternFill>
    </fill>
    <fill>
      <patternFill patternType="solid">
        <fgColor rgb="FF1F618D"/>
        <bgColor rgb="FF1A5276"/>
      </patternFill>
    </fill>
    <fill>
      <patternFill patternType="solid">
        <fgColor rgb="FFFFFFFF"/>
        <bgColor rgb="FFFEF9E7"/>
      </patternFill>
    </fill>
    <fill>
      <patternFill patternType="solid">
        <fgColor theme="0" tint="-4.9989318521683403E-2"/>
        <bgColor rgb="FFF2F3F4"/>
      </patternFill>
    </fill>
    <fill>
      <patternFill patternType="solid">
        <fgColor rgb="FFF2F3F4"/>
        <bgColor rgb="FFEAF2FF"/>
      </patternFill>
    </fill>
    <fill>
      <patternFill patternType="solid">
        <fgColor rgb="FFFADBD8"/>
        <bgColor rgb="FFFDEBD0"/>
      </patternFill>
    </fill>
    <fill>
      <patternFill patternType="darkUp">
        <fgColor auto="1"/>
        <bgColor theme="0"/>
      </patternFill>
    </fill>
    <fill>
      <patternFill patternType="solid">
        <fgColor rgb="FFFDEBD0"/>
        <bgColor rgb="FFFADBD8"/>
      </patternFill>
    </fill>
    <fill>
      <patternFill patternType="solid">
        <fgColor rgb="FF2E86C1"/>
        <bgColor rgb="FF008080"/>
      </patternFill>
    </fill>
    <fill>
      <patternFill patternType="solid">
        <fgColor rgb="FFF2F3F4"/>
        <bgColor rgb="FFF2F3F4"/>
      </patternFill>
    </fill>
    <fill>
      <patternFill patternType="solid">
        <fgColor rgb="FFFCE4D6"/>
        <bgColor indexed="64"/>
      </patternFill>
    </fill>
    <fill>
      <patternFill patternType="solid">
        <fgColor rgb="FFEDEDED"/>
        <bgColor indexed="64"/>
      </patternFill>
    </fill>
    <fill>
      <patternFill patternType="solid">
        <fgColor rgb="FFFFC000"/>
        <bgColor indexed="64"/>
      </patternFill>
    </fill>
    <fill>
      <patternFill patternType="solid">
        <fgColor rgb="FFC0C0C0"/>
        <bgColor indexed="64"/>
      </patternFill>
    </fill>
    <fill>
      <patternFill patternType="solid">
        <fgColor rgb="FFBFBFBF"/>
        <bgColor indexed="64"/>
      </patternFill>
    </fill>
  </fills>
  <borders count="12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medium">
        <color indexed="64"/>
      </top>
      <bottom/>
      <diagonal/>
    </border>
    <border>
      <left/>
      <right/>
      <top/>
      <bottom style="medium">
        <color indexed="64"/>
      </bottom>
      <diagonal/>
    </border>
    <border>
      <left style="hair">
        <color rgb="FF000000"/>
      </left>
      <right/>
      <top style="hair">
        <color rgb="FF000000"/>
      </top>
      <bottom style="hair">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dotted">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rgb="FF000000"/>
      </top>
      <bottom style="thin">
        <color rgb="FF000000"/>
      </bottom>
      <diagonal/>
    </border>
    <border>
      <left style="medium">
        <color indexed="64"/>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CCCCCC"/>
      </left>
      <right/>
      <top/>
      <bottom/>
      <diagonal/>
    </border>
    <border>
      <left style="thin">
        <color rgb="FFCCCCCC"/>
      </left>
      <right style="thin">
        <color rgb="FFCCCCCC"/>
      </right>
      <top style="thin">
        <color rgb="FFCCCCCC"/>
      </top>
      <bottom style="thin">
        <color rgb="FFCCCCCC"/>
      </bottom>
      <diagonal/>
    </border>
    <border>
      <left/>
      <right/>
      <top style="thin">
        <color rgb="FFCCCCCC"/>
      </top>
      <bottom style="thin">
        <color rgb="FFCCCCCC"/>
      </bottom>
      <diagonal/>
    </border>
    <border>
      <left style="thin">
        <color rgb="FFCCCCCC"/>
      </left>
      <right style="thick">
        <color auto="1"/>
      </right>
      <top style="thin">
        <color rgb="FFCCCCCC"/>
      </top>
      <bottom style="thin">
        <color rgb="FFCCCCCC"/>
      </bottom>
      <diagonal/>
    </border>
    <border>
      <left/>
      <right style="thin">
        <color rgb="FFCCCCCC"/>
      </right>
      <top style="thin">
        <color rgb="FFCCCCCC"/>
      </top>
      <bottom style="thin">
        <color rgb="FFCCCCCC"/>
      </bottom>
      <diagonal/>
    </border>
    <border>
      <left style="thin">
        <color rgb="FFCCCCCC"/>
      </left>
      <right/>
      <top style="thin">
        <color rgb="FFCCCCCC"/>
      </top>
      <bottom style="thin">
        <color rgb="FFCCCCCC"/>
      </bottom>
      <diagonal/>
    </border>
    <border>
      <left style="thick">
        <color auto="1"/>
      </left>
      <right style="thin">
        <color rgb="FFCCCCCC"/>
      </right>
      <top style="thin">
        <color rgb="FFCCCCCC"/>
      </top>
      <bottom style="thin">
        <color rgb="FFCCCCCC"/>
      </bottom>
      <diagonal/>
    </border>
    <border>
      <left/>
      <right/>
      <top style="thin">
        <color rgb="FF999999"/>
      </top>
      <bottom/>
      <diagonal/>
    </border>
    <border>
      <left/>
      <right style="thin">
        <color indexed="64"/>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hair">
        <color rgb="FF000000"/>
      </left>
      <right/>
      <top style="hair">
        <color rgb="FF000000"/>
      </top>
      <bottom style="medium">
        <color indexed="64"/>
      </bottom>
      <diagonal/>
    </border>
    <border>
      <left/>
      <right/>
      <top style="medium">
        <color rgb="FF000000"/>
      </top>
      <bottom/>
      <diagonal/>
    </border>
    <border>
      <left style="medium">
        <color indexed="64"/>
      </left>
      <right style="medium">
        <color indexed="64"/>
      </right>
      <top style="medium">
        <color rgb="FF000000"/>
      </top>
      <bottom style="medium">
        <color indexed="64"/>
      </bottom>
      <diagonal/>
    </border>
    <border>
      <left/>
      <right/>
      <top/>
      <bottom style="medium">
        <color rgb="FF000000"/>
      </bottom>
      <diagonal/>
    </border>
    <border>
      <left style="medium">
        <color indexed="64"/>
      </left>
      <right style="medium">
        <color indexed="64"/>
      </right>
      <top style="medium">
        <color indexed="64"/>
      </top>
      <bottom style="medium">
        <color rgb="FF000000"/>
      </bottom>
      <diagonal/>
    </border>
    <border>
      <left style="thin">
        <color auto="1"/>
      </left>
      <right/>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indexed="64"/>
      </left>
      <right style="medium">
        <color rgb="FF000000"/>
      </right>
      <top style="medium">
        <color rgb="FF000000"/>
      </top>
      <bottom style="medium">
        <color indexed="64"/>
      </bottom>
      <diagonal/>
    </border>
    <border>
      <left style="medium">
        <color indexed="64"/>
      </left>
      <right style="medium">
        <color rgb="FF000000"/>
      </right>
      <top style="medium">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indexed="64"/>
      </left>
      <right style="medium">
        <color rgb="FF000000"/>
      </right>
      <top style="medium">
        <color indexed="64"/>
      </top>
      <bottom style="medium">
        <color indexed="64"/>
      </bottom>
      <diagonal/>
    </border>
    <border>
      <left/>
      <right style="medium">
        <color rgb="FF000000"/>
      </right>
      <top/>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s>
  <cellStyleXfs count="14">
    <xf numFmtId="0" fontId="0" fillId="0" borderId="0"/>
    <xf numFmtId="0" fontId="2" fillId="0" borderId="0"/>
    <xf numFmtId="9" fontId="2"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0" fontId="15" fillId="0" borderId="0"/>
    <xf numFmtId="168" fontId="2" fillId="0" borderId="0" applyFont="0" applyFill="0" applyBorder="0" applyAlignment="0" applyProtection="0"/>
    <xf numFmtId="0" fontId="20" fillId="0" borderId="0"/>
    <xf numFmtId="170" fontId="2" fillId="0" borderId="0" applyFont="0" applyFill="0" applyBorder="0" applyAlignment="0" applyProtection="0"/>
    <xf numFmtId="172" fontId="2" fillId="0" borderId="0" applyFont="0" applyFill="0" applyBorder="0" applyAlignment="0" applyProtection="0"/>
    <xf numFmtId="0" fontId="42" fillId="0" borderId="0" applyNumberFormat="0" applyFill="0" applyBorder="0" applyAlignment="0" applyProtection="0"/>
    <xf numFmtId="0" fontId="11" fillId="0" borderId="0"/>
    <xf numFmtId="0" fontId="59" fillId="0" borderId="0"/>
    <xf numFmtId="9" fontId="70" fillId="0" borderId="0"/>
  </cellStyleXfs>
  <cellXfs count="987">
    <xf numFmtId="0" fontId="0" fillId="0" borderId="0" xfId="0"/>
    <xf numFmtId="14" fontId="18" fillId="14" borderId="8" xfId="8" applyNumberFormat="1" applyFont="1" applyFill="1" applyBorder="1" applyAlignment="1" applyProtection="1">
      <alignment horizontal="center" vertical="center" wrapText="1"/>
    </xf>
    <xf numFmtId="44" fontId="18" fillId="7" borderId="8" xfId="3" applyFont="1" applyFill="1" applyBorder="1" applyProtection="1"/>
    <xf numFmtId="44" fontId="18" fillId="7" borderId="45" xfId="3" applyFont="1" applyFill="1" applyBorder="1" applyProtection="1"/>
    <xf numFmtId="9" fontId="16" fillId="14" borderId="8" xfId="4" applyFont="1" applyFill="1" applyBorder="1" applyAlignment="1" applyProtection="1">
      <alignment horizontal="center" vertical="center" wrapText="1"/>
    </xf>
    <xf numFmtId="10" fontId="16" fillId="14" borderId="0" xfId="4" applyNumberFormat="1" applyFont="1" applyFill="1" applyBorder="1" applyAlignment="1" applyProtection="1">
      <alignment horizontal="center" vertical="center"/>
    </xf>
    <xf numFmtId="10" fontId="16" fillId="14" borderId="36" xfId="4" applyNumberFormat="1" applyFont="1" applyFill="1" applyBorder="1" applyAlignment="1" applyProtection="1">
      <alignment horizontal="center" vertical="center"/>
    </xf>
    <xf numFmtId="173" fontId="1" fillId="14" borderId="8" xfId="4" applyNumberFormat="1" applyFont="1" applyFill="1" applyBorder="1" applyAlignment="1" applyProtection="1">
      <alignment horizontal="center" vertical="center"/>
    </xf>
    <xf numFmtId="9" fontId="32" fillId="14" borderId="8" xfId="2" applyFont="1" applyFill="1" applyBorder="1" applyAlignment="1" applyProtection="1">
      <alignment horizontal="center" vertical="center"/>
    </xf>
    <xf numFmtId="10" fontId="32" fillId="14" borderId="8" xfId="2" applyNumberFormat="1" applyFont="1" applyFill="1" applyBorder="1" applyAlignment="1" applyProtection="1">
      <alignment horizontal="center" vertical="center"/>
    </xf>
    <xf numFmtId="44" fontId="16" fillId="14" borderId="12" xfId="3" applyFont="1" applyFill="1" applyBorder="1" applyProtection="1"/>
    <xf numFmtId="178" fontId="30" fillId="14" borderId="33" xfId="3" applyNumberFormat="1" applyFont="1" applyFill="1" applyBorder="1" applyAlignment="1" applyProtection="1">
      <alignment horizontal="left" vertical="center" wrapText="1"/>
    </xf>
    <xf numFmtId="178" fontId="28" fillId="14" borderId="33" xfId="3" applyNumberFormat="1" applyFont="1" applyFill="1" applyBorder="1" applyAlignment="1" applyProtection="1">
      <alignment horizontal="center" vertical="center" wrapText="1"/>
    </xf>
    <xf numFmtId="178" fontId="30" fillId="14" borderId="33" xfId="3" applyNumberFormat="1" applyFont="1" applyFill="1" applyBorder="1" applyAlignment="1" applyProtection="1">
      <alignment horizontal="center" vertical="center" wrapText="1"/>
    </xf>
    <xf numFmtId="9" fontId="28" fillId="14" borderId="34" xfId="4" applyFont="1" applyFill="1" applyBorder="1" applyAlignment="1" applyProtection="1">
      <alignment horizontal="center" vertical="center" wrapText="1"/>
    </xf>
    <xf numFmtId="44" fontId="43" fillId="14" borderId="8" xfId="3" applyFont="1" applyFill="1" applyBorder="1" applyAlignment="1" applyProtection="1">
      <alignment horizontal="left" wrapText="1"/>
    </xf>
    <xf numFmtId="9" fontId="43" fillId="14" borderId="8" xfId="4" applyFont="1" applyFill="1" applyBorder="1" applyAlignment="1" applyProtection="1">
      <alignment horizontal="left" wrapText="1"/>
    </xf>
    <xf numFmtId="10" fontId="43" fillId="14" borderId="8" xfId="4" applyNumberFormat="1" applyFont="1" applyFill="1" applyBorder="1" applyAlignment="1" applyProtection="1">
      <alignment horizontal="left" wrapText="1"/>
    </xf>
    <xf numFmtId="0" fontId="43" fillId="14" borderId="8" xfId="3" applyNumberFormat="1" applyFont="1" applyFill="1" applyBorder="1" applyAlignment="1" applyProtection="1">
      <alignment horizontal="left" wrapText="1"/>
    </xf>
    <xf numFmtId="10" fontId="44" fillId="14" borderId="8" xfId="4" applyNumberFormat="1" applyFont="1" applyFill="1" applyBorder="1" applyProtection="1"/>
    <xf numFmtId="9" fontId="44" fillId="14" borderId="8" xfId="4" applyFont="1" applyFill="1" applyBorder="1" applyProtection="1"/>
    <xf numFmtId="0" fontId="44" fillId="14" borderId="8" xfId="3" applyNumberFormat="1" applyFont="1" applyFill="1" applyBorder="1" applyProtection="1"/>
    <xf numFmtId="173" fontId="43" fillId="14" borderId="45" xfId="4" applyNumberFormat="1" applyFont="1" applyFill="1" applyBorder="1" applyProtection="1"/>
    <xf numFmtId="173" fontId="44" fillId="14" borderId="8" xfId="4" applyNumberFormat="1" applyFont="1" applyFill="1" applyBorder="1" applyProtection="1"/>
    <xf numFmtId="44" fontId="44" fillId="14" borderId="8" xfId="3" applyFont="1" applyFill="1" applyBorder="1" applyProtection="1"/>
    <xf numFmtId="9" fontId="43" fillId="14" borderId="8" xfId="4" applyFont="1" applyFill="1" applyBorder="1" applyProtection="1"/>
    <xf numFmtId="9" fontId="43" fillId="14" borderId="0" xfId="4" applyFont="1" applyFill="1" applyProtection="1"/>
    <xf numFmtId="44" fontId="43" fillId="14" borderId="0" xfId="3" applyFont="1" applyFill="1" applyProtection="1"/>
    <xf numFmtId="10" fontId="43" fillId="14" borderId="8" xfId="4" applyNumberFormat="1" applyFont="1" applyFill="1" applyBorder="1" applyProtection="1"/>
    <xf numFmtId="10" fontId="44" fillId="14" borderId="0" xfId="4" applyNumberFormat="1" applyFont="1" applyFill="1" applyBorder="1" applyProtection="1"/>
    <xf numFmtId="2" fontId="43" fillId="14" borderId="0" xfId="4" applyNumberFormat="1" applyFont="1" applyFill="1" applyProtection="1"/>
    <xf numFmtId="2" fontId="44" fillId="14" borderId="0" xfId="4" applyNumberFormat="1" applyFont="1" applyFill="1" applyBorder="1" applyProtection="1"/>
    <xf numFmtId="44" fontId="0" fillId="14" borderId="8" xfId="3" applyFont="1" applyFill="1" applyBorder="1" applyProtection="1"/>
    <xf numFmtId="44" fontId="14" fillId="14" borderId="17" xfId="3" applyFont="1" applyFill="1" applyBorder="1" applyProtection="1"/>
    <xf numFmtId="44" fontId="32" fillId="14" borderId="11" xfId="3" applyFont="1" applyFill="1" applyBorder="1" applyAlignment="1" applyProtection="1">
      <alignment horizontal="center" vertical="center"/>
    </xf>
    <xf numFmtId="0" fontId="21" fillId="0" borderId="49" xfId="0" applyFont="1" applyBorder="1" applyAlignment="1" applyProtection="1">
      <alignment vertical="center"/>
      <protection locked="0"/>
    </xf>
    <xf numFmtId="0" fontId="18" fillId="0" borderId="49" xfId="0" applyFont="1" applyBorder="1" applyProtection="1">
      <protection locked="0"/>
    </xf>
    <xf numFmtId="0" fontId="0" fillId="0" borderId="0" xfId="0" applyAlignment="1" applyProtection="1">
      <alignment wrapText="1"/>
      <protection locked="0"/>
    </xf>
    <xf numFmtId="0" fontId="18" fillId="0" borderId="19" xfId="0" applyFont="1" applyBorder="1" applyProtection="1">
      <protection locked="0"/>
    </xf>
    <xf numFmtId="0" fontId="18" fillId="8" borderId="60" xfId="0" applyFont="1" applyFill="1" applyBorder="1" applyProtection="1">
      <protection locked="0"/>
    </xf>
    <xf numFmtId="0" fontId="18" fillId="9" borderId="60" xfId="0" applyFont="1" applyFill="1" applyBorder="1" applyProtection="1">
      <protection locked="0"/>
    </xf>
    <xf numFmtId="0" fontId="18" fillId="0" borderId="64" xfId="0" applyFont="1" applyBorder="1" applyProtection="1">
      <protection locked="0"/>
    </xf>
    <xf numFmtId="0" fontId="18" fillId="0" borderId="50" xfId="0" applyFont="1" applyBorder="1" applyProtection="1">
      <protection locked="0"/>
    </xf>
    <xf numFmtId="0" fontId="0" fillId="0" borderId="0" xfId="0" applyAlignment="1" applyProtection="1">
      <alignment vertical="center" wrapText="1"/>
      <protection locked="0"/>
    </xf>
    <xf numFmtId="0" fontId="2" fillId="0" borderId="12" xfId="0" applyFont="1" applyBorder="1" applyAlignment="1" applyProtection="1">
      <alignment vertical="center" wrapText="1"/>
      <protection locked="0"/>
    </xf>
    <xf numFmtId="0" fontId="14" fillId="0" borderId="0" xfId="0" applyFont="1" applyProtection="1">
      <protection locked="0"/>
    </xf>
    <xf numFmtId="0" fontId="14" fillId="10" borderId="0" xfId="0" applyFont="1" applyFill="1" applyProtection="1">
      <protection locked="0"/>
    </xf>
    <xf numFmtId="0" fontId="0" fillId="0" borderId="0" xfId="0" applyProtection="1">
      <protection locked="0"/>
    </xf>
    <xf numFmtId="0" fontId="0" fillId="10" borderId="0" xfId="0" applyFill="1" applyProtection="1">
      <protection locked="0"/>
    </xf>
    <xf numFmtId="0" fontId="18" fillId="0" borderId="0" xfId="5" applyFont="1" applyAlignment="1" applyProtection="1">
      <alignment vertical="center"/>
      <protection locked="0"/>
    </xf>
    <xf numFmtId="166" fontId="18" fillId="0" borderId="0" xfId="7" applyNumberFormat="1" applyFont="1" applyAlignment="1" applyProtection="1">
      <alignment vertical="center"/>
      <protection locked="0"/>
    </xf>
    <xf numFmtId="170" fontId="18" fillId="0" borderId="0" xfId="8" applyFont="1" applyAlignment="1" applyProtection="1">
      <alignment vertical="center"/>
      <protection locked="0"/>
    </xf>
    <xf numFmtId="0" fontId="18" fillId="0" borderId="0" xfId="7" applyFont="1" applyAlignment="1" applyProtection="1">
      <alignment vertical="center"/>
      <protection locked="0"/>
    </xf>
    <xf numFmtId="14" fontId="18" fillId="0" borderId="0" xfId="5" applyNumberFormat="1" applyFont="1" applyAlignment="1" applyProtection="1">
      <alignment vertical="center"/>
      <protection locked="0"/>
    </xf>
    <xf numFmtId="169" fontId="18" fillId="0" borderId="0" xfId="5" applyNumberFormat="1" applyFont="1" applyAlignment="1" applyProtection="1">
      <alignment vertical="center"/>
      <protection locked="0"/>
    </xf>
    <xf numFmtId="0" fontId="21" fillId="15" borderId="8" xfId="7" applyFont="1" applyFill="1" applyBorder="1" applyAlignment="1" applyProtection="1">
      <alignment vertical="center"/>
      <protection locked="0"/>
    </xf>
    <xf numFmtId="0" fontId="18" fillId="9" borderId="8" xfId="0" applyFont="1" applyFill="1" applyBorder="1" applyAlignment="1" applyProtection="1">
      <alignment horizontal="center"/>
      <protection locked="0"/>
    </xf>
    <xf numFmtId="44" fontId="18" fillId="8" borderId="8" xfId="3" applyFont="1" applyFill="1" applyBorder="1" applyProtection="1">
      <protection locked="0"/>
    </xf>
    <xf numFmtId="9" fontId="18" fillId="9" borderId="8" xfId="4" applyFont="1" applyFill="1" applyBorder="1" applyAlignment="1" applyProtection="1">
      <alignment horizontal="center"/>
      <protection locked="0"/>
    </xf>
    <xf numFmtId="49" fontId="18" fillId="10" borderId="36" xfId="7" applyNumberFormat="1" applyFont="1" applyFill="1" applyBorder="1" applyAlignment="1" applyProtection="1">
      <alignment horizontal="left" vertical="center"/>
      <protection locked="0"/>
    </xf>
    <xf numFmtId="49" fontId="18" fillId="10" borderId="23" xfId="7" applyNumberFormat="1" applyFont="1" applyFill="1" applyBorder="1" applyAlignment="1" applyProtection="1">
      <alignment horizontal="left" vertical="center"/>
      <protection locked="0"/>
    </xf>
    <xf numFmtId="49" fontId="18" fillId="10" borderId="24" xfId="7" applyNumberFormat="1" applyFont="1" applyFill="1" applyBorder="1" applyAlignment="1" applyProtection="1">
      <alignment horizontal="left" vertical="center"/>
      <protection locked="0"/>
    </xf>
    <xf numFmtId="0" fontId="18" fillId="10" borderId="8" xfId="5" applyFont="1" applyFill="1" applyBorder="1" applyAlignment="1" applyProtection="1">
      <alignment vertical="center"/>
      <protection locked="0"/>
    </xf>
    <xf numFmtId="0" fontId="21" fillId="15" borderId="8" xfId="5" applyFont="1" applyFill="1" applyBorder="1" applyAlignment="1" applyProtection="1">
      <alignment vertical="center"/>
      <protection locked="0"/>
    </xf>
    <xf numFmtId="0" fontId="23" fillId="15" borderId="8" xfId="7" applyFont="1" applyFill="1" applyBorder="1" applyAlignment="1" applyProtection="1">
      <alignment horizontal="left" vertical="center"/>
      <protection locked="0"/>
    </xf>
    <xf numFmtId="0" fontId="21" fillId="15" borderId="8" xfId="7" applyFont="1" applyFill="1" applyBorder="1" applyAlignment="1" applyProtection="1">
      <alignment horizontal="left" vertical="center"/>
      <protection locked="0"/>
    </xf>
    <xf numFmtId="0" fontId="23" fillId="15" borderId="8" xfId="7" applyFont="1" applyFill="1" applyBorder="1" applyAlignment="1" applyProtection="1">
      <alignment horizontal="left" vertical="center" wrapText="1"/>
      <protection locked="0"/>
    </xf>
    <xf numFmtId="0" fontId="21" fillId="15" borderId="45" xfId="7" applyFont="1" applyFill="1" applyBorder="1" applyAlignment="1" applyProtection="1">
      <alignment horizontal="left" vertical="center"/>
      <protection locked="0"/>
    </xf>
    <xf numFmtId="0" fontId="18" fillId="9" borderId="45" xfId="0" applyFont="1" applyFill="1" applyBorder="1" applyAlignment="1" applyProtection="1">
      <alignment horizontal="center"/>
      <protection locked="0"/>
    </xf>
    <xf numFmtId="44" fontId="18" fillId="8" borderId="45" xfId="3" applyFont="1" applyFill="1" applyBorder="1" applyProtection="1">
      <protection locked="0"/>
    </xf>
    <xf numFmtId="9" fontId="18" fillId="9" borderId="45" xfId="4" applyFont="1" applyFill="1" applyBorder="1" applyAlignment="1" applyProtection="1">
      <alignment horizontal="center"/>
      <protection locked="0"/>
    </xf>
    <xf numFmtId="49" fontId="18" fillId="10" borderId="46" xfId="7" applyNumberFormat="1" applyFont="1" applyFill="1" applyBorder="1" applyAlignment="1" applyProtection="1">
      <alignment horizontal="left" vertical="center"/>
      <protection locked="0"/>
    </xf>
    <xf numFmtId="49" fontId="18" fillId="10" borderId="29" xfId="7" applyNumberFormat="1" applyFont="1" applyFill="1" applyBorder="1" applyAlignment="1" applyProtection="1">
      <alignment horizontal="left" vertical="center"/>
      <protection locked="0"/>
    </xf>
    <xf numFmtId="49" fontId="18" fillId="10" borderId="43" xfId="7" applyNumberFormat="1" applyFont="1" applyFill="1" applyBorder="1" applyAlignment="1" applyProtection="1">
      <alignment horizontal="left" vertical="center"/>
      <protection locked="0"/>
    </xf>
    <xf numFmtId="0" fontId="18" fillId="10" borderId="45" xfId="5" applyFont="1" applyFill="1" applyBorder="1" applyAlignment="1" applyProtection="1">
      <alignment vertical="center"/>
      <protection locked="0"/>
    </xf>
    <xf numFmtId="0" fontId="21" fillId="0" borderId="0" xfId="7" applyFont="1" applyAlignment="1" applyProtection="1">
      <alignment horizontal="left" vertical="center"/>
      <protection locked="0"/>
    </xf>
    <xf numFmtId="166" fontId="18" fillId="0" borderId="0" xfId="5" applyNumberFormat="1" applyFont="1" applyAlignment="1" applyProtection="1">
      <alignment vertical="center"/>
      <protection locked="0"/>
    </xf>
    <xf numFmtId="0" fontId="26" fillId="0" borderId="1"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27" fillId="0" borderId="4" xfId="0" applyFont="1" applyBorder="1" applyAlignment="1" applyProtection="1">
      <alignment horizontal="left" vertical="center"/>
      <protection locked="0"/>
    </xf>
    <xf numFmtId="0" fontId="27" fillId="0" borderId="6" xfId="0" applyFont="1" applyBorder="1" applyAlignment="1" applyProtection="1">
      <alignment horizontal="right" vertical="center"/>
      <protection locked="0"/>
    </xf>
    <xf numFmtId="0" fontId="27" fillId="0" borderId="7" xfId="0" applyFont="1" applyBorder="1" applyAlignment="1" applyProtection="1">
      <alignment horizontal="left" vertical="center"/>
      <protection locked="0"/>
    </xf>
    <xf numFmtId="0" fontId="27" fillId="0" borderId="9" xfId="0" applyFont="1" applyBorder="1" applyAlignment="1" applyProtection="1">
      <alignment horizontal="right" vertical="center"/>
      <protection locked="0"/>
    </xf>
    <xf numFmtId="0" fontId="27" fillId="0" borderId="10" xfId="0" applyFont="1" applyBorder="1" applyAlignment="1" applyProtection="1">
      <alignment horizontal="left" vertical="center"/>
      <protection locked="0"/>
    </xf>
    <xf numFmtId="0" fontId="27" fillId="0" borderId="12" xfId="0" applyFont="1" applyBorder="1" applyAlignment="1" applyProtection="1">
      <alignment horizontal="right" vertical="center"/>
      <protection locked="0"/>
    </xf>
    <xf numFmtId="0" fontId="29" fillId="0" borderId="0" xfId="5" applyFont="1" applyAlignment="1" applyProtection="1">
      <alignment vertical="center"/>
      <protection locked="0"/>
    </xf>
    <xf numFmtId="0" fontId="48" fillId="25" borderId="0" xfId="5" applyFont="1" applyFill="1" applyAlignment="1" applyProtection="1">
      <alignment vertical="center" wrapText="1"/>
      <protection locked="0"/>
    </xf>
    <xf numFmtId="9" fontId="28" fillId="15" borderId="44" xfId="4" applyFont="1" applyFill="1" applyBorder="1" applyAlignment="1" applyProtection="1">
      <alignment vertical="center"/>
      <protection locked="0"/>
    </xf>
    <xf numFmtId="0" fontId="48" fillId="25" borderId="0" xfId="5" applyFont="1" applyFill="1" applyAlignment="1" applyProtection="1">
      <alignment horizontal="center" vertical="center" wrapText="1"/>
      <protection locked="0"/>
    </xf>
    <xf numFmtId="0" fontId="18" fillId="0" borderId="0" xfId="5" applyFont="1" applyAlignment="1" applyProtection="1">
      <alignment horizontal="center" vertical="center"/>
      <protection locked="0"/>
    </xf>
    <xf numFmtId="0" fontId="21" fillId="0" borderId="33" xfId="5" applyFont="1" applyBorder="1" applyAlignment="1" applyProtection="1">
      <alignment horizontal="center" vertical="center"/>
      <protection locked="0"/>
    </xf>
    <xf numFmtId="9" fontId="21" fillId="15" borderId="44" xfId="5" applyNumberFormat="1" applyFont="1" applyFill="1" applyBorder="1" applyAlignment="1" applyProtection="1">
      <alignment horizontal="center" vertical="center"/>
      <protection locked="0"/>
    </xf>
    <xf numFmtId="166" fontId="28" fillId="0" borderId="34" xfId="5" applyNumberFormat="1" applyFont="1" applyBorder="1" applyAlignment="1" applyProtection="1">
      <alignment horizontal="center" vertical="center"/>
      <protection locked="0"/>
    </xf>
    <xf numFmtId="0" fontId="29" fillId="0" borderId="0" xfId="5" applyFont="1" applyAlignment="1" applyProtection="1">
      <alignment vertical="center" wrapText="1"/>
      <protection locked="0"/>
    </xf>
    <xf numFmtId="0" fontId="28" fillId="0" borderId="0" xfId="5" applyFont="1" applyAlignment="1" applyProtection="1">
      <alignment horizontal="left" vertical="center"/>
      <protection locked="0"/>
    </xf>
    <xf numFmtId="166" fontId="28" fillId="0" borderId="0" xfId="5" applyNumberFormat="1" applyFont="1" applyAlignment="1" applyProtection="1">
      <alignment horizontal="center" vertical="center"/>
      <protection locked="0"/>
    </xf>
    <xf numFmtId="0" fontId="28" fillId="0" borderId="0" xfId="5" applyFont="1" applyAlignment="1" applyProtection="1">
      <alignment horizontal="center" vertical="center"/>
      <protection locked="0"/>
    </xf>
    <xf numFmtId="0" fontId="29" fillId="0" borderId="51" xfId="5" applyFont="1" applyBorder="1" applyAlignment="1" applyProtection="1">
      <alignment vertical="center"/>
      <protection locked="0"/>
    </xf>
    <xf numFmtId="0" fontId="28" fillId="12" borderId="34" xfId="5" applyFont="1" applyFill="1" applyBorder="1" applyAlignment="1" applyProtection="1">
      <alignment horizontal="center" vertical="center"/>
      <protection locked="0"/>
    </xf>
    <xf numFmtId="166" fontId="28" fillId="12" borderId="1" xfId="5" applyNumberFormat="1" applyFont="1" applyFill="1" applyBorder="1" applyAlignment="1" applyProtection="1">
      <alignment horizontal="center" vertical="center" wrapText="1"/>
      <protection locked="0"/>
    </xf>
    <xf numFmtId="0" fontId="28" fillId="12" borderId="2" xfId="5" applyFont="1" applyFill="1" applyBorder="1" applyAlignment="1" applyProtection="1">
      <alignment horizontal="center" vertical="center" wrapText="1"/>
      <protection locked="0"/>
    </xf>
    <xf numFmtId="166" fontId="28" fillId="10" borderId="2" xfId="5" applyNumberFormat="1" applyFont="1" applyFill="1" applyBorder="1" applyAlignment="1" applyProtection="1">
      <alignment horizontal="center" vertical="center" wrapText="1"/>
      <protection locked="0"/>
    </xf>
    <xf numFmtId="0" fontId="30" fillId="13" borderId="39" xfId="5" applyFont="1" applyFill="1" applyBorder="1" applyAlignment="1" applyProtection="1">
      <alignment horizontal="left" vertical="center" wrapText="1"/>
      <protection locked="0"/>
    </xf>
    <xf numFmtId="0" fontId="18" fillId="10" borderId="8" xfId="0" applyFont="1" applyFill="1" applyBorder="1" applyProtection="1">
      <protection locked="0"/>
    </xf>
    <xf numFmtId="0" fontId="30" fillId="13" borderId="7" xfId="5" quotePrefix="1" applyFont="1" applyFill="1" applyBorder="1" applyAlignment="1" applyProtection="1">
      <alignment horizontal="right" vertical="center" wrapText="1"/>
      <protection locked="0"/>
    </xf>
    <xf numFmtId="166" fontId="30" fillId="10" borderId="7" xfId="5" applyNumberFormat="1" applyFont="1" applyFill="1" applyBorder="1" applyAlignment="1" applyProtection="1">
      <alignment horizontal="center" vertical="center" wrapText="1"/>
      <protection locked="0"/>
    </xf>
    <xf numFmtId="166" fontId="30" fillId="15" borderId="7" xfId="5" applyNumberFormat="1" applyFont="1" applyFill="1" applyBorder="1" applyAlignment="1" applyProtection="1">
      <alignment horizontal="center" vertical="center" wrapText="1"/>
      <protection locked="0"/>
    </xf>
    <xf numFmtId="0" fontId="30" fillId="13" borderId="7" xfId="5" applyFont="1" applyFill="1" applyBorder="1" applyAlignment="1" applyProtection="1">
      <alignment horizontal="left" vertical="center" wrapText="1"/>
      <protection locked="0"/>
    </xf>
    <xf numFmtId="0" fontId="30" fillId="13" borderId="7" xfId="5" applyFont="1" applyFill="1" applyBorder="1" applyAlignment="1" applyProtection="1">
      <alignment horizontal="right" vertical="center" wrapText="1"/>
      <protection locked="0"/>
    </xf>
    <xf numFmtId="0" fontId="29" fillId="12" borderId="7" xfId="5" applyFont="1" applyFill="1" applyBorder="1" applyAlignment="1" applyProtection="1">
      <alignment horizontal="left" vertical="center" wrapText="1"/>
      <protection locked="0"/>
    </xf>
    <xf numFmtId="0" fontId="30" fillId="13" borderId="22" xfId="5" applyFont="1" applyFill="1" applyBorder="1" applyAlignment="1" applyProtection="1">
      <alignment horizontal="right" vertical="center" wrapText="1"/>
      <protection locked="0"/>
    </xf>
    <xf numFmtId="0" fontId="30" fillId="12" borderId="7" xfId="5" applyFont="1" applyFill="1" applyBorder="1" applyAlignment="1" applyProtection="1">
      <alignment horizontal="right" vertical="center" wrapText="1"/>
      <protection locked="0"/>
    </xf>
    <xf numFmtId="0" fontId="30" fillId="12" borderId="26" xfId="5" applyFont="1" applyFill="1" applyBorder="1" applyAlignment="1" applyProtection="1">
      <alignment horizontal="right" vertical="center" wrapText="1"/>
      <protection locked="0"/>
    </xf>
    <xf numFmtId="0" fontId="29" fillId="12" borderId="22" xfId="5" applyFont="1" applyFill="1" applyBorder="1" applyAlignment="1" applyProtection="1">
      <alignment horizontal="left" vertical="center" wrapText="1"/>
      <protection locked="0"/>
    </xf>
    <xf numFmtId="0" fontId="30" fillId="10" borderId="5" xfId="5" applyFont="1" applyFill="1" applyBorder="1" applyAlignment="1" applyProtection="1">
      <alignment horizontal="center" vertical="center"/>
      <protection locked="0"/>
    </xf>
    <xf numFmtId="0" fontId="18" fillId="10" borderId="0" xfId="5" applyFont="1" applyFill="1" applyAlignment="1" applyProtection="1">
      <alignment vertical="center"/>
      <protection locked="0"/>
    </xf>
    <xf numFmtId="166" fontId="30" fillId="10" borderId="4" xfId="5" applyNumberFormat="1" applyFont="1" applyFill="1" applyBorder="1" applyAlignment="1" applyProtection="1">
      <alignment horizontal="center" vertical="center" wrapText="1"/>
      <protection locked="0"/>
    </xf>
    <xf numFmtId="0" fontId="29" fillId="12" borderId="26" xfId="5" applyFont="1" applyFill="1" applyBorder="1" applyAlignment="1" applyProtection="1">
      <alignment horizontal="left" vertical="center" wrapText="1"/>
      <protection locked="0"/>
    </xf>
    <xf numFmtId="0" fontId="29" fillId="12" borderId="0" xfId="5" applyFont="1" applyFill="1" applyAlignment="1" applyProtection="1">
      <alignment horizontal="left" vertical="center" wrapText="1"/>
      <protection locked="0"/>
    </xf>
    <xf numFmtId="0" fontId="30" fillId="12" borderId="0" xfId="5" applyFont="1" applyFill="1" applyAlignment="1" applyProtection="1">
      <alignment horizontal="right" vertical="center" wrapText="1"/>
      <protection locked="0"/>
    </xf>
    <xf numFmtId="0" fontId="30" fillId="0" borderId="0" xfId="5" applyFont="1" applyAlignment="1" applyProtection="1">
      <alignment vertical="center"/>
      <protection locked="0"/>
    </xf>
    <xf numFmtId="166" fontId="30" fillId="0" borderId="0" xfId="5" applyNumberFormat="1" applyFont="1" applyAlignment="1" applyProtection="1">
      <alignment horizontal="center" vertical="center"/>
      <protection locked="0"/>
    </xf>
    <xf numFmtId="0" fontId="28" fillId="0" borderId="0" xfId="5" applyFont="1" applyAlignment="1" applyProtection="1">
      <alignment horizontal="left" vertical="center" wrapText="1"/>
      <protection locked="0"/>
    </xf>
    <xf numFmtId="166" fontId="28" fillId="0" borderId="0" xfId="5" applyNumberFormat="1" applyFont="1" applyAlignment="1" applyProtection="1">
      <alignment horizontal="center" vertical="center" wrapText="1"/>
      <protection locked="0"/>
    </xf>
    <xf numFmtId="0" fontId="28" fillId="0" borderId="0" xfId="5" applyFont="1" applyAlignment="1" applyProtection="1">
      <alignment horizontal="center" vertical="center" wrapText="1"/>
      <protection locked="0"/>
    </xf>
    <xf numFmtId="0" fontId="43" fillId="0" borderId="0" xfId="0" applyFont="1" applyProtection="1">
      <protection locked="0"/>
    </xf>
    <xf numFmtId="0" fontId="43" fillId="0" borderId="8" xfId="0" applyFont="1" applyBorder="1" applyAlignment="1" applyProtection="1">
      <alignment horizontal="left"/>
      <protection locked="0"/>
    </xf>
    <xf numFmtId="0" fontId="43" fillId="25" borderId="0" xfId="0" applyFont="1" applyFill="1" applyProtection="1">
      <protection locked="0"/>
    </xf>
    <xf numFmtId="0" fontId="43" fillId="25" borderId="0" xfId="0" applyFont="1" applyFill="1" applyAlignment="1" applyProtection="1">
      <alignment horizontal="left"/>
      <protection locked="0"/>
    </xf>
    <xf numFmtId="44" fontId="43" fillId="25" borderId="0" xfId="3" applyFont="1" applyFill="1" applyBorder="1" applyAlignment="1" applyProtection="1">
      <alignment horizontal="left" wrapText="1"/>
      <protection locked="0"/>
    </xf>
    <xf numFmtId="0" fontId="43" fillId="0" borderId="24" xfId="0" applyFont="1" applyBorder="1" applyProtection="1">
      <protection locked="0"/>
    </xf>
    <xf numFmtId="0" fontId="43" fillId="10" borderId="8" xfId="0" applyFont="1" applyFill="1" applyBorder="1" applyProtection="1">
      <protection locked="0"/>
    </xf>
    <xf numFmtId="0" fontId="43" fillId="10" borderId="9" xfId="0" applyFont="1" applyFill="1" applyBorder="1" applyProtection="1">
      <protection locked="0"/>
    </xf>
    <xf numFmtId="0" fontId="43" fillId="25" borderId="8" xfId="0" applyFont="1" applyFill="1" applyBorder="1" applyProtection="1">
      <protection locked="0"/>
    </xf>
    <xf numFmtId="0" fontId="43" fillId="15" borderId="8" xfId="0" applyFont="1" applyFill="1" applyBorder="1" applyProtection="1">
      <protection locked="0"/>
    </xf>
    <xf numFmtId="0" fontId="43" fillId="15" borderId="9" xfId="0" applyFont="1" applyFill="1" applyBorder="1" applyProtection="1">
      <protection locked="0"/>
    </xf>
    <xf numFmtId="9" fontId="44" fillId="0" borderId="8" xfId="4" applyFont="1" applyFill="1" applyBorder="1" applyProtection="1">
      <protection locked="0"/>
    </xf>
    <xf numFmtId="0" fontId="43" fillId="0" borderId="43" xfId="0" applyFont="1" applyBorder="1" applyProtection="1">
      <protection locked="0"/>
    </xf>
    <xf numFmtId="0" fontId="44" fillId="0" borderId="8" xfId="0" applyFont="1" applyBorder="1" applyProtection="1">
      <protection locked="0"/>
    </xf>
    <xf numFmtId="0" fontId="43" fillId="0" borderId="8" xfId="0" applyFont="1" applyBorder="1" applyProtection="1">
      <protection locked="0"/>
    </xf>
    <xf numFmtId="0" fontId="43" fillId="0" borderId="0" xfId="0" applyFont="1" applyAlignment="1" applyProtection="1">
      <alignment horizontal="left"/>
      <protection locked="0"/>
    </xf>
    <xf numFmtId="9" fontId="43" fillId="0" borderId="0" xfId="4" applyFont="1" applyFill="1" applyProtection="1">
      <protection locked="0"/>
    </xf>
    <xf numFmtId="10" fontId="44" fillId="0" borderId="8" xfId="4" applyNumberFormat="1" applyFont="1" applyFill="1" applyBorder="1" applyProtection="1">
      <protection locked="0"/>
    </xf>
    <xf numFmtId="9" fontId="43" fillId="0" borderId="8" xfId="4" applyFont="1" applyFill="1" applyBorder="1" applyProtection="1">
      <protection locked="0"/>
    </xf>
    <xf numFmtId="9" fontId="43" fillId="0" borderId="0" xfId="4" applyFont="1" applyFill="1" applyBorder="1" applyProtection="1">
      <protection locked="0"/>
    </xf>
    <xf numFmtId="0" fontId="44" fillId="0" borderId="0" xfId="0" applyFont="1" applyProtection="1">
      <protection locked="0"/>
    </xf>
    <xf numFmtId="10" fontId="44" fillId="0" borderId="0" xfId="4" applyNumberFormat="1" applyFont="1" applyFill="1" applyProtection="1">
      <protection locked="0"/>
    </xf>
    <xf numFmtId="0" fontId="46" fillId="0" borderId="0" xfId="0" applyFont="1" applyProtection="1">
      <protection locked="0"/>
    </xf>
    <xf numFmtId="179" fontId="0" fillId="0" borderId="0" xfId="3" applyNumberFormat="1" applyFont="1" applyProtection="1">
      <protection locked="0"/>
    </xf>
    <xf numFmtId="10" fontId="0" fillId="0" borderId="0" xfId="0" applyNumberFormat="1" applyProtection="1">
      <protection locked="0"/>
    </xf>
    <xf numFmtId="173" fontId="0" fillId="0" borderId="0" xfId="0" applyNumberFormat="1" applyProtection="1">
      <protection locked="0"/>
    </xf>
    <xf numFmtId="180" fontId="0" fillId="0" borderId="0" xfId="0" applyNumberFormat="1" applyProtection="1">
      <protection locked="0"/>
    </xf>
    <xf numFmtId="44" fontId="0" fillId="0" borderId="0" xfId="3" applyFont="1" applyProtection="1">
      <protection locked="0"/>
    </xf>
    <xf numFmtId="10" fontId="0" fillId="0" borderId="0" xfId="4" applyNumberFormat="1" applyFont="1" applyProtection="1">
      <protection locked="0"/>
    </xf>
    <xf numFmtId="2" fontId="0" fillId="0" borderId="0" xfId="0" applyNumberFormat="1" applyProtection="1">
      <protection locked="0"/>
    </xf>
    <xf numFmtId="0" fontId="43" fillId="0" borderId="0" xfId="0" applyFont="1" applyAlignment="1" applyProtection="1">
      <alignment wrapText="1"/>
      <protection locked="0"/>
    </xf>
    <xf numFmtId="0" fontId="43" fillId="0" borderId="0" xfId="0" applyFont="1" applyAlignment="1" applyProtection="1">
      <alignment horizontal="left" wrapText="1"/>
      <protection locked="0"/>
    </xf>
    <xf numFmtId="1" fontId="43" fillId="0" borderId="0" xfId="0" applyNumberFormat="1" applyFont="1" applyAlignment="1" applyProtection="1">
      <alignment horizontal="left" wrapText="1"/>
      <protection locked="0"/>
    </xf>
    <xf numFmtId="0" fontId="50" fillId="22" borderId="0" xfId="0" applyFont="1" applyFill="1" applyAlignment="1" applyProtection="1">
      <alignment horizontal="center" wrapText="1"/>
      <protection locked="0"/>
    </xf>
    <xf numFmtId="0" fontId="13" fillId="3" borderId="32" xfId="0" applyFont="1" applyFill="1" applyBorder="1" applyAlignment="1" applyProtection="1">
      <alignment horizontal="center" vertical="center"/>
      <protection locked="0"/>
    </xf>
    <xf numFmtId="0" fontId="12" fillId="23" borderId="8" xfId="0" applyFont="1" applyFill="1" applyBorder="1" applyAlignment="1" applyProtection="1">
      <alignment horizontal="center" vertical="center" wrapText="1"/>
      <protection locked="0"/>
    </xf>
    <xf numFmtId="0" fontId="13" fillId="23" borderId="8" xfId="0" applyFont="1" applyFill="1" applyBorder="1" applyAlignment="1" applyProtection="1">
      <alignment horizontal="center" vertical="center" wrapText="1"/>
      <protection locked="0"/>
    </xf>
    <xf numFmtId="0" fontId="13" fillId="3" borderId="0" xfId="0" applyFont="1" applyFill="1" applyAlignment="1" applyProtection="1">
      <alignment horizontal="center" vertical="center"/>
      <protection locked="0"/>
    </xf>
    <xf numFmtId="0" fontId="53" fillId="0" borderId="0" xfId="0" applyFont="1" applyProtection="1">
      <protection locked="0"/>
    </xf>
    <xf numFmtId="0" fontId="50" fillId="22" borderId="92" xfId="0" applyFont="1" applyFill="1" applyBorder="1" applyAlignment="1" applyProtection="1">
      <alignment horizontal="center" wrapText="1"/>
      <protection locked="0"/>
    </xf>
    <xf numFmtId="0" fontId="50" fillId="22" borderId="94" xfId="0" applyFont="1" applyFill="1" applyBorder="1" applyAlignment="1" applyProtection="1">
      <alignment horizontal="center" wrapText="1"/>
      <protection locked="0"/>
    </xf>
    <xf numFmtId="0" fontId="13" fillId="3" borderId="8" xfId="0" applyFont="1" applyFill="1" applyBorder="1" applyAlignment="1" applyProtection="1">
      <alignment horizontal="center" vertical="center"/>
      <protection locked="0"/>
    </xf>
    <xf numFmtId="0" fontId="50" fillId="22" borderId="94" xfId="0" applyFont="1" applyFill="1" applyBorder="1" applyAlignment="1" applyProtection="1">
      <alignment horizontal="center"/>
      <protection locked="0"/>
    </xf>
    <xf numFmtId="0" fontId="52" fillId="0" borderId="8" xfId="0" applyFont="1" applyBorder="1" applyAlignment="1" applyProtection="1">
      <alignment vertical="center" wrapText="1"/>
      <protection locked="0"/>
    </xf>
    <xf numFmtId="0" fontId="0" fillId="15" borderId="0" xfId="0" applyFill="1" applyProtection="1">
      <protection locked="0"/>
    </xf>
    <xf numFmtId="44" fontId="0" fillId="10" borderId="8" xfId="3" applyFont="1" applyFill="1" applyBorder="1" applyProtection="1">
      <protection locked="0"/>
    </xf>
    <xf numFmtId="0" fontId="0" fillId="10" borderId="37" xfId="0" applyFill="1" applyBorder="1" applyProtection="1">
      <protection locked="0"/>
    </xf>
    <xf numFmtId="0" fontId="0" fillId="10" borderId="8" xfId="0" applyFill="1" applyBorder="1" applyProtection="1">
      <protection locked="0"/>
    </xf>
    <xf numFmtId="0" fontId="0" fillId="0" borderId="34" xfId="0" applyBorder="1" applyProtection="1">
      <protection locked="0"/>
    </xf>
    <xf numFmtId="0" fontId="31" fillId="0" borderId="0" xfId="5" applyFont="1" applyAlignment="1" applyProtection="1">
      <alignment vertical="center"/>
      <protection locked="0"/>
    </xf>
    <xf numFmtId="174" fontId="18" fillId="0" borderId="0" xfId="5" applyNumberFormat="1" applyFont="1" applyAlignment="1" applyProtection="1">
      <alignment vertical="center"/>
      <protection locked="0"/>
    </xf>
    <xf numFmtId="0" fontId="31" fillId="0" borderId="0" xfId="7" applyFont="1" applyAlignment="1" applyProtection="1">
      <alignment vertical="center"/>
      <protection locked="0"/>
    </xf>
    <xf numFmtId="0" fontId="30" fillId="13" borderId="39" xfId="5" applyFont="1" applyFill="1" applyBorder="1" applyAlignment="1" applyProtection="1">
      <alignment horizontal="right" vertical="center" wrapText="1"/>
      <protection locked="0"/>
    </xf>
    <xf numFmtId="0" fontId="35" fillId="0" borderId="33" xfId="7" applyFont="1" applyBorder="1" applyAlignment="1" applyProtection="1">
      <alignment vertical="center"/>
      <protection locked="0"/>
    </xf>
    <xf numFmtId="0" fontId="30" fillId="0" borderId="13" xfId="7" applyFont="1" applyBorder="1" applyAlignment="1" applyProtection="1">
      <alignment horizontal="right" vertical="center"/>
      <protection locked="0"/>
    </xf>
    <xf numFmtId="0" fontId="28" fillId="13" borderId="1" xfId="5" applyFont="1" applyFill="1" applyBorder="1" applyAlignment="1" applyProtection="1">
      <alignment horizontal="left" vertical="center" wrapText="1"/>
      <protection locked="0"/>
    </xf>
    <xf numFmtId="0" fontId="30" fillId="10" borderId="13" xfId="7" applyFont="1" applyFill="1" applyBorder="1" applyAlignment="1" applyProtection="1">
      <alignment horizontal="right" vertical="center"/>
      <protection locked="0"/>
    </xf>
    <xf numFmtId="175" fontId="30" fillId="10" borderId="4" xfId="7" applyNumberFormat="1" applyFont="1" applyFill="1" applyBorder="1" applyAlignment="1" applyProtection="1">
      <alignment horizontal="center" vertical="center" wrapText="1"/>
      <protection locked="0"/>
    </xf>
    <xf numFmtId="175" fontId="30" fillId="10" borderId="5" xfId="7" applyNumberFormat="1" applyFont="1" applyFill="1" applyBorder="1" applyAlignment="1" applyProtection="1">
      <alignment horizontal="center" vertical="center" wrapText="1"/>
      <protection locked="0"/>
    </xf>
    <xf numFmtId="175" fontId="30" fillId="10" borderId="6" xfId="7" applyNumberFormat="1" applyFont="1" applyFill="1" applyBorder="1" applyAlignment="1" applyProtection="1">
      <alignment horizontal="center" vertical="center" wrapText="1"/>
      <protection locked="0"/>
    </xf>
    <xf numFmtId="0" fontId="28" fillId="0" borderId="0" xfId="7" applyFont="1" applyAlignment="1" applyProtection="1">
      <alignment vertical="center"/>
      <protection locked="0"/>
    </xf>
    <xf numFmtId="175" fontId="28" fillId="0" borderId="0" xfId="7" applyNumberFormat="1" applyFont="1" applyAlignment="1" applyProtection="1">
      <alignment horizontal="center" vertical="center" wrapText="1"/>
      <protection locked="0"/>
    </xf>
    <xf numFmtId="0" fontId="28" fillId="13" borderId="33" xfId="5" applyFont="1" applyFill="1" applyBorder="1" applyAlignment="1" applyProtection="1">
      <alignment horizontal="left" vertical="center" wrapText="1"/>
      <protection locked="0"/>
    </xf>
    <xf numFmtId="0" fontId="30" fillId="12" borderId="60" xfId="5" applyFont="1" applyFill="1" applyBorder="1" applyAlignment="1" applyProtection="1">
      <alignment horizontal="right" vertical="center" wrapText="1"/>
      <protection locked="0"/>
    </xf>
    <xf numFmtId="175" fontId="28" fillId="15" borderId="42" xfId="7" applyNumberFormat="1" applyFont="1" applyFill="1" applyBorder="1" applyAlignment="1" applyProtection="1">
      <alignment horizontal="center" vertical="center" wrapText="1"/>
      <protection locked="0"/>
    </xf>
    <xf numFmtId="0" fontId="28" fillId="0" borderId="0" xfId="7" applyFont="1" applyAlignment="1" applyProtection="1">
      <alignment horizontal="left" vertical="center"/>
      <protection locked="0"/>
    </xf>
    <xf numFmtId="0" fontId="28" fillId="0" borderId="22" xfId="7" applyFont="1" applyBorder="1" applyAlignment="1" applyProtection="1">
      <alignment horizontal="left" vertical="center"/>
      <protection locked="0"/>
    </xf>
    <xf numFmtId="0" fontId="30" fillId="0" borderId="22" xfId="7" applyFont="1" applyBorder="1" applyAlignment="1" applyProtection="1">
      <alignment horizontal="right" vertical="center"/>
      <protection locked="0"/>
    </xf>
    <xf numFmtId="175" fontId="30" fillId="10" borderId="7" xfId="7" applyNumberFormat="1" applyFont="1" applyFill="1" applyBorder="1" applyAlignment="1" applyProtection="1">
      <alignment horizontal="center" vertical="center" wrapText="1"/>
      <protection locked="0"/>
    </xf>
    <xf numFmtId="0" fontId="28" fillId="0" borderId="17" xfId="7" applyFont="1" applyBorder="1" applyAlignment="1" applyProtection="1">
      <alignment horizontal="right" vertical="center"/>
      <protection locked="0"/>
    </xf>
    <xf numFmtId="0" fontId="0" fillId="0" borderId="20" xfId="0" applyBorder="1" applyProtection="1">
      <protection locked="0"/>
    </xf>
    <xf numFmtId="0" fontId="0" fillId="0" borderId="21" xfId="0" applyBorder="1" applyProtection="1">
      <protection locked="0"/>
    </xf>
    <xf numFmtId="0" fontId="0" fillId="0" borderId="30" xfId="0" applyBorder="1" applyProtection="1">
      <protection locked="0"/>
    </xf>
    <xf numFmtId="0" fontId="0" fillId="0" borderId="47" xfId="0" applyBorder="1" applyProtection="1">
      <protection locked="0"/>
    </xf>
    <xf numFmtId="0" fontId="0" fillId="0" borderId="31" xfId="0" applyBorder="1" applyProtection="1">
      <protection locked="0"/>
    </xf>
    <xf numFmtId="0" fontId="0" fillId="0" borderId="48" xfId="0" applyBorder="1" applyProtection="1">
      <protection locked="0"/>
    </xf>
    <xf numFmtId="0" fontId="0" fillId="0" borderId="17" xfId="0" applyBorder="1" applyProtection="1">
      <protection locked="0"/>
    </xf>
    <xf numFmtId="0" fontId="7" fillId="0" borderId="56" xfId="1" applyFont="1" applyBorder="1" applyAlignment="1" applyProtection="1">
      <alignment vertical="center"/>
      <protection locked="0"/>
    </xf>
    <xf numFmtId="0" fontId="7" fillId="0" borderId="55" xfId="1" applyFont="1" applyBorder="1" applyAlignment="1" applyProtection="1">
      <alignment vertical="center"/>
      <protection locked="0"/>
    </xf>
    <xf numFmtId="0" fontId="7" fillId="0" borderId="37" xfId="1" applyFont="1" applyBorder="1" applyAlignment="1" applyProtection="1">
      <alignment vertical="center"/>
      <protection locked="0"/>
    </xf>
    <xf numFmtId="0" fontId="7" fillId="0" borderId="40" xfId="1" applyFont="1" applyBorder="1" applyAlignment="1" applyProtection="1">
      <alignment vertical="center" wrapText="1"/>
      <protection locked="0"/>
    </xf>
    <xf numFmtId="0" fontId="16" fillId="10" borderId="8" xfId="1" applyFont="1" applyFill="1" applyBorder="1" applyAlignment="1" applyProtection="1">
      <alignment vertical="center"/>
      <protection locked="0"/>
    </xf>
    <xf numFmtId="0" fontId="16" fillId="15" borderId="8" xfId="1" applyFont="1" applyFill="1" applyBorder="1" applyAlignment="1" applyProtection="1">
      <alignment horizontal="center" vertical="center"/>
      <protection locked="0"/>
    </xf>
    <xf numFmtId="0" fontId="16" fillId="15" borderId="8" xfId="1" applyFont="1" applyFill="1" applyBorder="1" applyAlignment="1" applyProtection="1">
      <alignment vertical="center"/>
      <protection locked="0"/>
    </xf>
    <xf numFmtId="0" fontId="16" fillId="10" borderId="8" xfId="1" applyFont="1" applyFill="1" applyBorder="1" applyAlignment="1" applyProtection="1">
      <alignment horizontal="center" vertical="center"/>
      <protection locked="0"/>
    </xf>
    <xf numFmtId="164" fontId="16" fillId="10" borderId="8" xfId="1" applyNumberFormat="1" applyFont="1" applyFill="1" applyBorder="1" applyAlignment="1" applyProtection="1">
      <alignment vertical="center"/>
      <protection locked="0"/>
    </xf>
    <xf numFmtId="0" fontId="16" fillId="10" borderId="45" xfId="1" applyFont="1" applyFill="1" applyBorder="1" applyAlignment="1" applyProtection="1">
      <alignment vertical="center"/>
      <protection locked="0"/>
    </xf>
    <xf numFmtId="0" fontId="16" fillId="15" borderId="45" xfId="1" applyFont="1" applyFill="1" applyBorder="1" applyAlignment="1" applyProtection="1">
      <alignment horizontal="center" vertical="center"/>
      <protection locked="0"/>
    </xf>
    <xf numFmtId="0" fontId="16" fillId="10" borderId="45" xfId="1" applyFont="1" applyFill="1" applyBorder="1" applyAlignment="1" applyProtection="1">
      <alignment horizontal="center" vertical="center"/>
      <protection locked="0"/>
    </xf>
    <xf numFmtId="164" fontId="16" fillId="10" borderId="45" xfId="1" applyNumberFormat="1" applyFont="1" applyFill="1" applyBorder="1" applyAlignment="1" applyProtection="1">
      <alignment vertical="center"/>
      <protection locked="0"/>
    </xf>
    <xf numFmtId="0" fontId="0" fillId="0" borderId="15" xfId="0" applyBorder="1" applyProtection="1">
      <protection locked="0"/>
    </xf>
    <xf numFmtId="0" fontId="3" fillId="0" borderId="0" xfId="1" applyFont="1" applyProtection="1">
      <protection locked="0"/>
    </xf>
    <xf numFmtId="0" fontId="4" fillId="0" borderId="0" xfId="1" applyFont="1" applyProtection="1">
      <protection locked="0"/>
    </xf>
    <xf numFmtId="0" fontId="5" fillId="0" borderId="0" xfId="1" applyFont="1" applyProtection="1">
      <protection locked="0"/>
    </xf>
    <xf numFmtId="0" fontId="2" fillId="0" borderId="0" xfId="1" applyProtection="1">
      <protection locked="0"/>
    </xf>
    <xf numFmtId="0" fontId="17" fillId="0" borderId="36" xfId="1" applyFont="1" applyBorder="1" applyAlignment="1" applyProtection="1">
      <alignment vertical="center"/>
      <protection locked="0"/>
    </xf>
    <xf numFmtId="0" fontId="8" fillId="10" borderId="36" xfId="1" applyFont="1" applyFill="1" applyBorder="1" applyAlignment="1" applyProtection="1">
      <alignment vertical="center"/>
      <protection locked="0"/>
    </xf>
    <xf numFmtId="0" fontId="8" fillId="10" borderId="23" xfId="1" applyFont="1" applyFill="1" applyBorder="1" applyAlignment="1" applyProtection="1">
      <alignment vertical="center"/>
      <protection locked="0"/>
    </xf>
    <xf numFmtId="0" fontId="8" fillId="10" borderId="24" xfId="1" applyFont="1" applyFill="1" applyBorder="1" applyAlignment="1" applyProtection="1">
      <alignment vertical="center"/>
      <protection locked="0"/>
    </xf>
    <xf numFmtId="0" fontId="6" fillId="0" borderId="0" xfId="1" applyFont="1" applyProtection="1">
      <protection locked="0"/>
    </xf>
    <xf numFmtId="0" fontId="16" fillId="0" borderId="24" xfId="1" applyFont="1" applyBorder="1" applyProtection="1">
      <protection locked="0"/>
    </xf>
    <xf numFmtId="0" fontId="16" fillId="10" borderId="23" xfId="1" applyFont="1" applyFill="1" applyBorder="1" applyAlignment="1" applyProtection="1">
      <alignment horizontal="center" vertical="center" wrapText="1"/>
      <protection locked="0"/>
    </xf>
    <xf numFmtId="0" fontId="2" fillId="0" borderId="36" xfId="1" applyBorder="1" applyProtection="1">
      <protection locked="0"/>
    </xf>
    <xf numFmtId="0" fontId="4" fillId="0" borderId="23" xfId="1" applyFont="1" applyBorder="1" applyProtection="1">
      <protection locked="0"/>
    </xf>
    <xf numFmtId="0" fontId="4" fillId="0" borderId="24" xfId="1" applyFont="1" applyBorder="1" applyProtection="1">
      <protection locked="0"/>
    </xf>
    <xf numFmtId="0" fontId="16" fillId="10" borderId="8" xfId="1" applyFont="1" applyFill="1" applyBorder="1" applyAlignment="1" applyProtection="1">
      <alignment horizontal="center" vertical="center" wrapText="1"/>
      <protection locked="0"/>
    </xf>
    <xf numFmtId="164" fontId="16" fillId="10" borderId="8" xfId="1" applyNumberFormat="1" applyFont="1" applyFill="1" applyBorder="1" applyAlignment="1" applyProtection="1">
      <alignment horizontal="center" vertical="center" wrapText="1"/>
      <protection locked="0"/>
    </xf>
    <xf numFmtId="0" fontId="2" fillId="0" borderId="24" xfId="1" applyBorder="1" applyProtection="1">
      <protection locked="0"/>
    </xf>
    <xf numFmtId="9" fontId="16" fillId="15" borderId="8" xfId="2" applyFont="1" applyFill="1" applyBorder="1" applyAlignment="1" applyProtection="1">
      <alignment horizontal="center" vertical="center" wrapText="1"/>
      <protection locked="0"/>
    </xf>
    <xf numFmtId="9" fontId="8" fillId="15" borderId="36" xfId="2" applyFont="1" applyFill="1" applyBorder="1" applyAlignment="1" applyProtection="1">
      <alignment horizontal="center" vertical="center" wrapText="1"/>
      <protection locked="0"/>
    </xf>
    <xf numFmtId="164" fontId="8" fillId="10" borderId="36" xfId="1" applyNumberFormat="1" applyFont="1" applyFill="1" applyBorder="1" applyAlignment="1" applyProtection="1">
      <alignment horizontal="center" vertical="center" wrapText="1"/>
      <protection locked="0"/>
    </xf>
    <xf numFmtId="0" fontId="4" fillId="0" borderId="0" xfId="1" applyFont="1" applyAlignment="1" applyProtection="1">
      <alignment horizontal="center"/>
      <protection locked="0"/>
    </xf>
    <xf numFmtId="0" fontId="7" fillId="0" borderId="13" xfId="1" applyFont="1" applyBorder="1" applyAlignment="1" applyProtection="1">
      <alignment horizontal="left" vertical="center"/>
      <protection locked="0"/>
    </xf>
    <xf numFmtId="0" fontId="7" fillId="0" borderId="5" xfId="1" applyFont="1" applyBorder="1" applyAlignment="1" applyProtection="1">
      <alignment horizontal="left" vertical="center"/>
      <protection locked="0"/>
    </xf>
    <xf numFmtId="0" fontId="7" fillId="0" borderId="14" xfId="1" applyFont="1" applyBorder="1" applyAlignment="1" applyProtection="1">
      <alignment horizontal="center" vertical="center" wrapText="1"/>
      <protection locked="0"/>
    </xf>
    <xf numFmtId="0" fontId="7" fillId="0" borderId="8" xfId="1" applyFont="1" applyBorder="1" applyAlignment="1" applyProtection="1">
      <alignment horizontal="center" vertical="center" wrapText="1"/>
      <protection locked="0"/>
    </xf>
    <xf numFmtId="165" fontId="16" fillId="10" borderId="8" xfId="1" applyNumberFormat="1" applyFont="1" applyFill="1" applyBorder="1" applyAlignment="1" applyProtection="1">
      <alignment horizontal="center" vertical="center"/>
      <protection locked="0"/>
    </xf>
    <xf numFmtId="0" fontId="16" fillId="25" borderId="36" xfId="1" applyFont="1" applyFill="1" applyBorder="1" applyAlignment="1" applyProtection="1">
      <alignment vertical="top"/>
      <protection locked="0"/>
    </xf>
    <xf numFmtId="0" fontId="16" fillId="25" borderId="23" xfId="1" applyFont="1" applyFill="1" applyBorder="1" applyAlignment="1" applyProtection="1">
      <alignment vertical="top" wrapText="1"/>
      <protection locked="0"/>
    </xf>
    <xf numFmtId="0" fontId="2" fillId="25" borderId="24" xfId="1" applyFill="1" applyBorder="1" applyAlignment="1" applyProtection="1">
      <alignment vertical="top" wrapText="1"/>
      <protection locked="0"/>
    </xf>
    <xf numFmtId="0" fontId="16" fillId="25" borderId="36" xfId="1" applyFont="1" applyFill="1" applyBorder="1" applyAlignment="1" applyProtection="1">
      <alignment vertical="top" wrapText="1"/>
      <protection locked="0"/>
    </xf>
    <xf numFmtId="165" fontId="16" fillId="10" borderId="36" xfId="1" applyNumberFormat="1" applyFont="1" applyFill="1" applyBorder="1" applyAlignment="1" applyProtection="1">
      <alignment horizontal="center" vertical="center"/>
      <protection locked="0"/>
    </xf>
    <xf numFmtId="0" fontId="16" fillId="25" borderId="24" xfId="1" applyFont="1" applyFill="1" applyBorder="1" applyAlignment="1" applyProtection="1">
      <alignment vertical="top" wrapText="1"/>
      <protection locked="0"/>
    </xf>
    <xf numFmtId="165" fontId="16" fillId="10" borderId="46" xfId="1" applyNumberFormat="1" applyFont="1" applyFill="1" applyBorder="1" applyAlignment="1" applyProtection="1">
      <alignment horizontal="center" vertical="center"/>
      <protection locked="0"/>
    </xf>
    <xf numFmtId="0" fontId="17" fillId="0" borderId="46" xfId="1" applyFont="1" applyBorder="1" applyAlignment="1" applyProtection="1">
      <alignment vertical="center"/>
      <protection locked="0"/>
    </xf>
    <xf numFmtId="0" fontId="2" fillId="0" borderId="29" xfId="1" applyBorder="1" applyAlignment="1" applyProtection="1">
      <alignment vertical="center"/>
      <protection locked="0"/>
    </xf>
    <xf numFmtId="0" fontId="2" fillId="0" borderId="43" xfId="1" applyBorder="1" applyAlignment="1" applyProtection="1">
      <alignment vertical="center"/>
      <protection locked="0"/>
    </xf>
    <xf numFmtId="0" fontId="2" fillId="0" borderId="0" xfId="1" applyAlignment="1" applyProtection="1">
      <alignment vertical="center"/>
      <protection locked="0"/>
    </xf>
    <xf numFmtId="0" fontId="2" fillId="0" borderId="23" xfId="1" applyBorder="1" applyAlignment="1" applyProtection="1">
      <alignment vertical="center"/>
      <protection locked="0"/>
    </xf>
    <xf numFmtId="0" fontId="2" fillId="0" borderId="24" xfId="1" applyBorder="1" applyAlignment="1" applyProtection="1">
      <alignment vertical="center"/>
      <protection locked="0"/>
    </xf>
    <xf numFmtId="166" fontId="2" fillId="0" borderId="8" xfId="1" applyNumberFormat="1" applyBorder="1" applyAlignment="1" applyProtection="1">
      <alignment horizontal="right" vertical="center"/>
      <protection locked="0"/>
    </xf>
    <xf numFmtId="166" fontId="2" fillId="0" borderId="0" xfId="1" applyNumberFormat="1" applyAlignment="1" applyProtection="1">
      <alignment horizontal="right" vertical="center"/>
      <protection locked="0"/>
    </xf>
    <xf numFmtId="166" fontId="1" fillId="0" borderId="0" xfId="1" applyNumberFormat="1" applyFont="1" applyAlignment="1" applyProtection="1">
      <alignment horizontal="right" vertical="center"/>
      <protection locked="0"/>
    </xf>
    <xf numFmtId="0" fontId="7" fillId="0" borderId="23" xfId="1" applyFont="1" applyBorder="1" applyAlignment="1" applyProtection="1">
      <alignment vertical="center"/>
      <protection locked="0"/>
    </xf>
    <xf numFmtId="0" fontId="7" fillId="0" borderId="29" xfId="1" applyFont="1" applyBorder="1" applyAlignment="1" applyProtection="1">
      <alignment vertical="center"/>
      <protection locked="0"/>
    </xf>
    <xf numFmtId="0" fontId="7" fillId="0" borderId="24" xfId="1" applyFont="1" applyBorder="1" applyAlignment="1" applyProtection="1">
      <alignment vertical="center"/>
      <protection locked="0"/>
    </xf>
    <xf numFmtId="164" fontId="10" fillId="0" borderId="0" xfId="1" applyNumberFormat="1" applyFont="1" applyAlignment="1" applyProtection="1">
      <alignment horizontal="right" vertical="center"/>
      <protection locked="0"/>
    </xf>
    <xf numFmtId="0" fontId="1" fillId="0" borderId="24" xfId="1" applyFont="1" applyBorder="1" applyAlignment="1" applyProtection="1">
      <alignment vertical="center"/>
      <protection locked="0"/>
    </xf>
    <xf numFmtId="10" fontId="2" fillId="0" borderId="0" xfId="2" applyNumberFormat="1" applyFont="1" applyBorder="1" applyAlignment="1" applyProtection="1">
      <alignment horizontal="right" vertical="center"/>
      <protection locked="0"/>
    </xf>
    <xf numFmtId="164" fontId="2" fillId="0" borderId="0" xfId="2" applyNumberFormat="1" applyFont="1" applyBorder="1" applyAlignment="1" applyProtection="1">
      <alignment horizontal="right" vertical="center"/>
      <protection locked="0"/>
    </xf>
    <xf numFmtId="0" fontId="2" fillId="0" borderId="55" xfId="1" applyBorder="1" applyProtection="1">
      <protection locked="0"/>
    </xf>
    <xf numFmtId="0" fontId="7" fillId="0" borderId="54" xfId="1" applyFont="1" applyBorder="1" applyAlignment="1" applyProtection="1">
      <alignment vertical="center"/>
      <protection locked="0"/>
    </xf>
    <xf numFmtId="0" fontId="7" fillId="0" borderId="0" xfId="1" applyFont="1" applyAlignment="1" applyProtection="1">
      <alignment vertical="center"/>
      <protection locked="0"/>
    </xf>
    <xf numFmtId="0" fontId="17" fillId="0" borderId="0" xfId="1" applyFont="1" applyAlignment="1" applyProtection="1">
      <alignment vertical="center"/>
      <protection locked="0"/>
    </xf>
    <xf numFmtId="0" fontId="17" fillId="0" borderId="8" xfId="1" applyFont="1" applyBorder="1" applyProtection="1">
      <protection locked="0"/>
    </xf>
    <xf numFmtId="0" fontId="16" fillId="10" borderId="7" xfId="1" applyFont="1" applyFill="1" applyBorder="1" applyProtection="1">
      <protection locked="0"/>
    </xf>
    <xf numFmtId="0" fontId="16" fillId="10" borderId="8" xfId="1" applyFont="1" applyFill="1" applyBorder="1" applyProtection="1">
      <protection locked="0"/>
    </xf>
    <xf numFmtId="0" fontId="16" fillId="15" borderId="8" xfId="1" applyFont="1" applyFill="1" applyBorder="1" applyProtection="1">
      <protection locked="0"/>
    </xf>
    <xf numFmtId="0" fontId="17" fillId="10" borderId="8" xfId="1" applyFont="1" applyFill="1" applyBorder="1" applyProtection="1">
      <protection locked="0"/>
    </xf>
    <xf numFmtId="0" fontId="16" fillId="10" borderId="7" xfId="1" applyFont="1" applyFill="1" applyBorder="1" applyAlignment="1" applyProtection="1">
      <alignment vertical="center"/>
      <protection locked="0"/>
    </xf>
    <xf numFmtId="0" fontId="2" fillId="0" borderId="8" xfId="1" applyBorder="1" applyProtection="1">
      <protection locked="0"/>
    </xf>
    <xf numFmtId="0" fontId="1" fillId="0" borderId="8" xfId="1" applyFont="1" applyBorder="1" applyProtection="1">
      <protection locked="0"/>
    </xf>
    <xf numFmtId="0" fontId="21" fillId="0" borderId="0" xfId="7" applyFont="1" applyAlignment="1" applyProtection="1">
      <alignment vertical="center" wrapText="1"/>
      <protection locked="0"/>
    </xf>
    <xf numFmtId="0" fontId="21" fillId="0" borderId="0" xfId="5" applyFont="1" applyAlignment="1" applyProtection="1">
      <alignment vertical="center" wrapText="1"/>
      <protection locked="0"/>
    </xf>
    <xf numFmtId="0" fontId="23" fillId="0" borderId="0" xfId="7" applyFont="1" applyAlignment="1" applyProtection="1">
      <alignment horizontal="left" vertical="center" wrapText="1"/>
      <protection locked="0"/>
    </xf>
    <xf numFmtId="0" fontId="21" fillId="0" borderId="0" xfId="7" applyFont="1" applyAlignment="1" applyProtection="1">
      <alignment horizontal="left" vertical="center" wrapText="1"/>
      <protection locked="0"/>
    </xf>
    <xf numFmtId="0" fontId="49" fillId="22" borderId="93" xfId="0" applyFont="1" applyFill="1" applyBorder="1" applyAlignment="1" applyProtection="1">
      <alignment horizontal="left"/>
      <protection locked="0"/>
    </xf>
    <xf numFmtId="0" fontId="49" fillId="22" borderId="95" xfId="0" applyFont="1" applyFill="1" applyBorder="1" applyAlignment="1" applyProtection="1">
      <alignment horizontal="left"/>
      <protection locked="0"/>
    </xf>
    <xf numFmtId="3" fontId="34" fillId="0" borderId="0" xfId="5" applyNumberFormat="1" applyFont="1" applyAlignment="1" applyProtection="1">
      <alignment vertical="center"/>
      <protection locked="0"/>
    </xf>
    <xf numFmtId="0" fontId="21" fillId="0" borderId="0" xfId="5" applyFont="1" applyAlignment="1" applyProtection="1">
      <alignment vertical="center"/>
      <protection locked="0"/>
    </xf>
    <xf numFmtId="166" fontId="18" fillId="0" borderId="0" xfId="5" applyNumberFormat="1" applyFont="1" applyAlignment="1" applyProtection="1">
      <alignment horizontal="right" vertical="center"/>
      <protection locked="0"/>
    </xf>
    <xf numFmtId="0" fontId="36" fillId="0" borderId="0" xfId="5" applyFont="1" applyAlignment="1" applyProtection="1">
      <alignment vertical="center"/>
      <protection locked="0"/>
    </xf>
    <xf numFmtId="176" fontId="18" fillId="0" borderId="0" xfId="5" applyNumberFormat="1" applyFont="1" applyAlignment="1" applyProtection="1">
      <alignment vertical="center"/>
      <protection locked="0"/>
    </xf>
    <xf numFmtId="0" fontId="37" fillId="0" borderId="0" xfId="5" applyFont="1" applyAlignment="1" applyProtection="1">
      <alignment horizontal="left" vertical="center"/>
      <protection locked="0"/>
    </xf>
    <xf numFmtId="0" fontId="37" fillId="0" borderId="0" xfId="5" applyFont="1" applyAlignment="1" applyProtection="1">
      <alignment vertical="center"/>
      <protection locked="0"/>
    </xf>
    <xf numFmtId="171" fontId="21" fillId="0" borderId="0" xfId="5" applyNumberFormat="1" applyFont="1" applyAlignment="1" applyProtection="1">
      <alignment vertical="center"/>
      <protection locked="0"/>
    </xf>
    <xf numFmtId="49" fontId="21" fillId="0" borderId="0" xfId="5" applyNumberFormat="1" applyFont="1" applyAlignment="1" applyProtection="1">
      <alignment horizontal="center" vertical="center" wrapText="1"/>
      <protection locked="0"/>
    </xf>
    <xf numFmtId="49" fontId="21" fillId="0" borderId="0" xfId="5" applyNumberFormat="1" applyFont="1" applyAlignment="1" applyProtection="1">
      <alignment vertical="center" wrapText="1"/>
      <protection locked="0"/>
    </xf>
    <xf numFmtId="0" fontId="18" fillId="12" borderId="0" xfId="5" applyFont="1" applyFill="1" applyAlignment="1" applyProtection="1">
      <alignment vertical="center"/>
      <protection locked="0"/>
    </xf>
    <xf numFmtId="49" fontId="38" fillId="0" borderId="0" xfId="5" applyNumberFormat="1" applyFont="1" applyAlignment="1" applyProtection="1">
      <alignment vertical="center" wrapText="1"/>
      <protection locked="0"/>
    </xf>
    <xf numFmtId="3" fontId="18" fillId="0" borderId="0" xfId="5" applyNumberFormat="1" applyFont="1" applyAlignment="1" applyProtection="1">
      <alignment vertical="center"/>
      <protection locked="0"/>
    </xf>
    <xf numFmtId="3" fontId="22" fillId="0" borderId="0" xfId="5" applyNumberFormat="1" applyFont="1" applyAlignment="1" applyProtection="1">
      <alignment vertical="center" wrapText="1"/>
      <protection locked="0"/>
    </xf>
    <xf numFmtId="0" fontId="40" fillId="0" borderId="73" xfId="1" applyFont="1" applyBorder="1" applyProtection="1">
      <protection locked="0"/>
    </xf>
    <xf numFmtId="0" fontId="40" fillId="0" borderId="74" xfId="1" applyFont="1" applyBorder="1" applyAlignment="1" applyProtection="1">
      <alignment horizontal="right"/>
      <protection locked="0"/>
    </xf>
    <xf numFmtId="0" fontId="40" fillId="0" borderId="75" xfId="1" applyFont="1" applyBorder="1" applyProtection="1">
      <protection locked="0"/>
    </xf>
    <xf numFmtId="0" fontId="40" fillId="0" borderId="76" xfId="1" applyFont="1" applyBorder="1" applyAlignment="1" applyProtection="1">
      <alignment horizontal="right"/>
      <protection locked="0"/>
    </xf>
    <xf numFmtId="0" fontId="40" fillId="0" borderId="77" xfId="1" applyFont="1" applyBorder="1" applyProtection="1">
      <protection locked="0"/>
    </xf>
    <xf numFmtId="0" fontId="40" fillId="0" borderId="78" xfId="1" applyFont="1" applyBorder="1" applyAlignment="1" applyProtection="1">
      <alignment horizontal="right"/>
      <protection locked="0"/>
    </xf>
    <xf numFmtId="3" fontId="22" fillId="0" borderId="0" xfId="5" applyNumberFormat="1" applyFont="1" applyAlignment="1" applyProtection="1">
      <alignment vertical="center"/>
      <protection locked="0"/>
    </xf>
    <xf numFmtId="3" fontId="41" fillId="0" borderId="0" xfId="5" applyNumberFormat="1" applyFont="1" applyAlignment="1" applyProtection="1">
      <alignment vertical="center"/>
      <protection locked="0"/>
    </xf>
    <xf numFmtId="1" fontId="18" fillId="12" borderId="0" xfId="5" applyNumberFormat="1" applyFont="1" applyFill="1" applyAlignment="1" applyProtection="1">
      <alignment horizontal="right" vertical="center"/>
      <protection locked="0"/>
    </xf>
    <xf numFmtId="0" fontId="18" fillId="12" borderId="60" xfId="5" applyFont="1" applyFill="1" applyBorder="1" applyAlignment="1" applyProtection="1">
      <alignment vertical="center"/>
      <protection locked="0"/>
    </xf>
    <xf numFmtId="10" fontId="18" fillId="0" borderId="10" xfId="5" applyNumberFormat="1" applyFont="1" applyBorder="1" applyAlignment="1" applyProtection="1">
      <alignment horizontal="center" vertical="center"/>
      <protection locked="0"/>
    </xf>
    <xf numFmtId="166" fontId="18" fillId="0" borderId="11" xfId="5" applyNumberFormat="1" applyFont="1" applyBorder="1" applyAlignment="1" applyProtection="1">
      <alignment vertical="center"/>
      <protection locked="0"/>
    </xf>
    <xf numFmtId="166" fontId="18" fillId="0" borderId="12" xfId="5" applyNumberFormat="1" applyFont="1" applyBorder="1" applyAlignment="1" applyProtection="1">
      <alignment vertical="center"/>
      <protection locked="0"/>
    </xf>
    <xf numFmtId="0" fontId="18" fillId="12" borderId="33" xfId="5" applyFont="1" applyFill="1" applyBorder="1" applyAlignment="1" applyProtection="1">
      <alignment vertical="center"/>
      <protection locked="0"/>
    </xf>
    <xf numFmtId="0" fontId="0" fillId="0" borderId="34" xfId="0" applyBorder="1" applyAlignment="1" applyProtection="1">
      <alignment vertical="top" wrapText="1"/>
      <protection locked="0"/>
    </xf>
    <xf numFmtId="0" fontId="0" fillId="0" borderId="35" xfId="0" applyBorder="1" applyAlignment="1" applyProtection="1">
      <alignment vertical="top" wrapText="1"/>
      <protection locked="0"/>
    </xf>
    <xf numFmtId="0" fontId="0" fillId="0" borderId="0" xfId="0"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3"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12" xfId="0" applyFont="1" applyBorder="1" applyAlignment="1" applyProtection="1">
      <alignment vertical="top" wrapText="1"/>
      <protection locked="0"/>
    </xf>
    <xf numFmtId="0" fontId="2" fillId="0" borderId="89" xfId="0" applyFont="1" applyBorder="1" applyAlignment="1" applyProtection="1">
      <alignment vertical="top" wrapText="1"/>
      <protection locked="0"/>
    </xf>
    <xf numFmtId="0" fontId="2" fillId="0" borderId="18" xfId="0" applyFont="1" applyBorder="1" applyAlignment="1" applyProtection="1">
      <alignment vertical="top" wrapText="1"/>
      <protection locked="0"/>
    </xf>
    <xf numFmtId="0" fontId="2" fillId="0" borderId="3"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2" fillId="0" borderId="89" xfId="0" applyFont="1" applyBorder="1" applyAlignment="1" applyProtection="1">
      <alignment horizontal="center" vertical="top" wrapText="1"/>
      <protection locked="0"/>
    </xf>
    <xf numFmtId="0" fontId="2" fillId="0" borderId="18"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2" fillId="0" borderId="91" xfId="0" applyFont="1" applyBorder="1" applyAlignment="1" applyProtection="1">
      <alignment horizontal="left" vertical="top" wrapText="1"/>
      <protection locked="0"/>
    </xf>
    <xf numFmtId="0" fontId="2" fillId="0" borderId="15" xfId="0" applyFont="1" applyBorder="1" applyAlignment="1" applyProtection="1">
      <alignment vertical="center" wrapText="1"/>
      <protection locked="0"/>
    </xf>
    <xf numFmtId="0" fontId="2" fillId="0" borderId="0" xfId="0" applyFont="1" applyAlignment="1" applyProtection="1">
      <alignment horizontal="left" vertical="center" wrapText="1"/>
      <protection locked="0"/>
    </xf>
    <xf numFmtId="0" fontId="2" fillId="0" borderId="0" xfId="0" applyFont="1" applyAlignment="1" applyProtection="1">
      <alignment vertical="center" wrapText="1"/>
      <protection locked="0"/>
    </xf>
    <xf numFmtId="0" fontId="58" fillId="22" borderId="0" xfId="0" applyFont="1" applyFill="1" applyAlignment="1" applyProtection="1">
      <alignment horizontal="center" wrapText="1"/>
      <protection locked="0"/>
    </xf>
    <xf numFmtId="0" fontId="57" fillId="22" borderId="0" xfId="0" applyFont="1" applyFill="1" applyAlignment="1" applyProtection="1">
      <alignment wrapText="1"/>
      <protection locked="0"/>
    </xf>
    <xf numFmtId="0" fontId="2" fillId="0" borderId="7" xfId="0" applyFont="1" applyBorder="1" applyAlignment="1" applyProtection="1">
      <alignment vertical="top" wrapText="1"/>
      <protection locked="0"/>
    </xf>
    <xf numFmtId="0" fontId="2" fillId="0" borderId="10"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11" xfId="0" applyFont="1" applyBorder="1" applyAlignment="1" applyProtection="1">
      <alignment vertical="top" wrapText="1"/>
      <protection locked="0"/>
    </xf>
    <xf numFmtId="0" fontId="2" fillId="0" borderId="51" xfId="0" applyFont="1" applyBorder="1" applyAlignment="1" applyProtection="1">
      <alignment vertical="top" wrapText="1"/>
      <protection locked="0"/>
    </xf>
    <xf numFmtId="0" fontId="2" fillId="0" borderId="61" xfId="0" applyFont="1" applyBorder="1" applyAlignment="1" applyProtection="1">
      <alignment vertical="top" wrapText="1"/>
      <protection locked="0"/>
    </xf>
    <xf numFmtId="0" fontId="2" fillId="0" borderId="57" xfId="0" applyFont="1" applyBorder="1" applyAlignment="1" applyProtection="1">
      <alignment vertical="top" wrapText="1"/>
      <protection locked="0"/>
    </xf>
    <xf numFmtId="0" fontId="2" fillId="0" borderId="62" xfId="0" applyFont="1" applyBorder="1" applyAlignment="1" applyProtection="1">
      <alignment vertical="top" wrapText="1"/>
      <protection locked="0"/>
    </xf>
    <xf numFmtId="173" fontId="11" fillId="0" borderId="0" xfId="11" applyNumberFormat="1" applyProtection="1">
      <protection locked="0"/>
    </xf>
    <xf numFmtId="181" fontId="11" fillId="0" borderId="0" xfId="11" applyNumberFormat="1" applyProtection="1">
      <protection locked="0"/>
    </xf>
    <xf numFmtId="0" fontId="11" fillId="0" borderId="0" xfId="11" applyProtection="1">
      <protection locked="0"/>
    </xf>
    <xf numFmtId="0" fontId="14" fillId="0" borderId="0" xfId="0" applyFont="1" applyAlignment="1" applyProtection="1">
      <alignment horizontal="center"/>
      <protection locked="0"/>
    </xf>
    <xf numFmtId="1" fontId="79" fillId="0" borderId="0" xfId="0" applyNumberFormat="1" applyFont="1" applyAlignment="1" applyProtection="1">
      <alignment horizontal="center"/>
      <protection locked="0"/>
    </xf>
    <xf numFmtId="0" fontId="54" fillId="0" borderId="0" xfId="0" applyFont="1" applyProtection="1">
      <protection locked="0"/>
    </xf>
    <xf numFmtId="1" fontId="54" fillId="0" borderId="0" xfId="0" applyNumberFormat="1" applyFont="1" applyAlignment="1" applyProtection="1">
      <alignment horizontal="center"/>
      <protection locked="0"/>
    </xf>
    <xf numFmtId="0" fontId="85" fillId="0" borderId="17" xfId="0" applyFont="1" applyBorder="1" applyAlignment="1" applyProtection="1">
      <alignment vertical="center" wrapText="1"/>
      <protection locked="0"/>
    </xf>
    <xf numFmtId="0" fontId="85" fillId="0" borderId="15" xfId="0" applyFont="1" applyBorder="1" applyAlignment="1" applyProtection="1">
      <alignment vertical="center" wrapText="1"/>
      <protection locked="0"/>
    </xf>
    <xf numFmtId="0" fontId="50" fillId="0" borderId="106" xfId="0" applyFont="1" applyBorder="1" applyAlignment="1" applyProtection="1">
      <alignment horizontal="center" wrapText="1"/>
      <protection locked="0"/>
    </xf>
    <xf numFmtId="182" fontId="51" fillId="10" borderId="65" xfId="0" applyNumberFormat="1" applyFont="1" applyFill="1" applyBorder="1" applyAlignment="1" applyProtection="1">
      <alignment horizontal="center" vertical="center" wrapText="1"/>
      <protection locked="0"/>
    </xf>
    <xf numFmtId="182" fontId="51" fillId="10" borderId="70" xfId="0" applyNumberFormat="1" applyFont="1" applyFill="1" applyBorder="1" applyAlignment="1" applyProtection="1">
      <alignment horizontal="center" vertical="center" wrapText="1"/>
      <protection locked="0"/>
    </xf>
    <xf numFmtId="0" fontId="12" fillId="23" borderId="9" xfId="0" applyFont="1" applyFill="1" applyBorder="1" applyAlignment="1" applyProtection="1">
      <alignment horizontal="center" vertical="center" wrapText="1"/>
      <protection locked="0"/>
    </xf>
    <xf numFmtId="0" fontId="13" fillId="3" borderId="107" xfId="0" applyFont="1" applyFill="1" applyBorder="1" applyAlignment="1" applyProtection="1">
      <alignment horizontal="center" vertical="center"/>
      <protection locked="0"/>
    </xf>
    <xf numFmtId="0" fontId="12" fillId="23" borderId="11" xfId="0" applyFont="1" applyFill="1" applyBorder="1" applyAlignment="1" applyProtection="1">
      <alignment horizontal="center" vertical="center" wrapText="1"/>
      <protection locked="0"/>
    </xf>
    <xf numFmtId="0" fontId="13" fillId="23" borderId="11" xfId="0" applyFont="1" applyFill="1" applyBorder="1" applyAlignment="1" applyProtection="1">
      <alignment horizontal="center" vertical="center" wrapText="1"/>
      <protection locked="0"/>
    </xf>
    <xf numFmtId="0" fontId="12" fillId="23" borderId="12" xfId="0" applyFont="1" applyFill="1" applyBorder="1" applyAlignment="1" applyProtection="1">
      <alignment horizontal="center" vertical="center" wrapText="1"/>
      <protection locked="0"/>
    </xf>
    <xf numFmtId="0" fontId="0" fillId="10" borderId="45" xfId="0" applyFill="1" applyBorder="1" applyProtection="1">
      <protection locked="0"/>
    </xf>
    <xf numFmtId="0" fontId="0" fillId="10" borderId="36" xfId="0" applyFill="1" applyBorder="1" applyProtection="1">
      <protection locked="0"/>
    </xf>
    <xf numFmtId="0" fontId="0" fillId="10" borderId="46" xfId="0" applyFill="1" applyBorder="1" applyProtection="1">
      <protection locked="0"/>
    </xf>
    <xf numFmtId="0" fontId="0" fillId="10" borderId="40" xfId="0" applyFill="1" applyBorder="1" applyProtection="1">
      <protection locked="0"/>
    </xf>
    <xf numFmtId="0" fontId="30" fillId="0" borderId="28" xfId="7" applyFont="1" applyBorder="1" applyAlignment="1" applyProtection="1">
      <alignment horizontal="left" vertical="center"/>
      <protection locked="0"/>
    </xf>
    <xf numFmtId="175" fontId="30" fillId="15" borderId="8" xfId="7" applyNumberFormat="1" applyFont="1" applyFill="1" applyBorder="1" applyAlignment="1" applyProtection="1">
      <alignment horizontal="center" vertical="center" wrapText="1"/>
      <protection locked="0"/>
    </xf>
    <xf numFmtId="175" fontId="30" fillId="15" borderId="9" xfId="7" applyNumberFormat="1" applyFont="1" applyFill="1" applyBorder="1" applyAlignment="1" applyProtection="1">
      <alignment horizontal="center" vertical="center" wrapText="1"/>
      <protection locked="0"/>
    </xf>
    <xf numFmtId="0" fontId="19" fillId="0" borderId="0" xfId="5" applyFont="1" applyAlignment="1" applyProtection="1">
      <alignment horizontal="center" vertical="center"/>
      <protection locked="0"/>
    </xf>
    <xf numFmtId="0" fontId="0" fillId="0" borderId="0" xfId="0"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2" fillId="0" borderId="17" xfId="0" applyFont="1" applyBorder="1" applyAlignment="1" applyProtection="1">
      <alignment horizontal="left" vertical="center" wrapText="1"/>
      <protection locked="0"/>
    </xf>
    <xf numFmtId="0" fontId="2" fillId="0" borderId="0" xfId="0" applyFont="1" applyAlignment="1" applyProtection="1">
      <alignment horizontal="left" vertical="center"/>
      <protection locked="0"/>
    </xf>
    <xf numFmtId="0" fontId="30" fillId="10" borderId="4" xfId="5" applyFont="1" applyFill="1" applyBorder="1" applyAlignment="1" applyProtection="1">
      <alignment horizontal="right" vertical="center" wrapText="1"/>
      <protection locked="0"/>
    </xf>
    <xf numFmtId="0" fontId="30" fillId="10" borderId="5" xfId="5" applyFont="1" applyFill="1" applyBorder="1" applyAlignment="1" applyProtection="1">
      <alignment horizontal="right" vertical="center" wrapText="1"/>
      <protection locked="0"/>
    </xf>
    <xf numFmtId="0" fontId="30" fillId="10" borderId="14" xfId="5" applyFont="1" applyFill="1" applyBorder="1" applyAlignment="1" applyProtection="1">
      <alignment horizontal="right" vertical="center" wrapText="1"/>
      <protection locked="0"/>
    </xf>
    <xf numFmtId="0" fontId="30" fillId="12" borderId="8" xfId="5" applyFont="1" applyFill="1" applyBorder="1" applyAlignment="1" applyProtection="1">
      <alignment horizontal="right" vertical="center" wrapText="1"/>
      <protection locked="0"/>
    </xf>
    <xf numFmtId="0" fontId="30" fillId="12" borderId="36" xfId="5" applyFont="1" applyFill="1" applyBorder="1" applyAlignment="1" applyProtection="1">
      <alignment horizontal="right" vertical="center" wrapText="1"/>
      <protection locked="0"/>
    </xf>
    <xf numFmtId="0" fontId="30" fillId="12" borderId="53" xfId="5" applyFont="1" applyFill="1" applyBorder="1" applyAlignment="1" applyProtection="1">
      <alignment horizontal="right" vertical="center" wrapText="1"/>
      <protection locked="0"/>
    </xf>
    <xf numFmtId="0" fontId="30" fillId="12" borderId="27" xfId="5" applyFont="1" applyFill="1" applyBorder="1" applyAlignment="1" applyProtection="1">
      <alignment horizontal="right" vertical="center" wrapText="1"/>
      <protection locked="0"/>
    </xf>
    <xf numFmtId="0" fontId="30" fillId="0" borderId="4" xfId="5" applyFont="1" applyBorder="1" applyAlignment="1" applyProtection="1">
      <alignment horizontal="right" vertical="center" wrapText="1"/>
      <protection locked="0"/>
    </xf>
    <xf numFmtId="0" fontId="30" fillId="0" borderId="5" xfId="5" applyFont="1" applyBorder="1" applyAlignment="1" applyProtection="1">
      <alignment horizontal="right" vertical="center" wrapText="1"/>
      <protection locked="0"/>
    </xf>
    <xf numFmtId="0" fontId="30" fillId="0" borderId="14" xfId="5" applyFont="1" applyBorder="1" applyAlignment="1" applyProtection="1">
      <alignment horizontal="right" vertical="center" wrapText="1"/>
      <protection locked="0"/>
    </xf>
    <xf numFmtId="0" fontId="30" fillId="12" borderId="105" xfId="5" applyFont="1" applyFill="1" applyBorder="1" applyAlignment="1" applyProtection="1">
      <alignment horizontal="right" vertical="center" wrapText="1"/>
      <protection locked="0"/>
    </xf>
    <xf numFmtId="0" fontId="28" fillId="0" borderId="0" xfId="5" applyFont="1" applyAlignment="1" applyProtection="1">
      <alignment horizontal="left" vertical="center" wrapText="1"/>
      <protection locked="0"/>
    </xf>
    <xf numFmtId="0" fontId="30" fillId="12" borderId="23" xfId="5" applyFont="1" applyFill="1" applyBorder="1" applyAlignment="1" applyProtection="1">
      <alignment horizontal="right" vertical="center" wrapText="1"/>
      <protection locked="0"/>
    </xf>
    <xf numFmtId="0" fontId="30" fillId="12" borderId="7" xfId="5" applyFont="1" applyFill="1" applyBorder="1" applyAlignment="1" applyProtection="1">
      <alignment horizontal="right" vertical="center" wrapText="1"/>
      <protection locked="0"/>
    </xf>
    <xf numFmtId="0" fontId="30" fillId="12" borderId="8" xfId="5" quotePrefix="1" applyFont="1" applyFill="1" applyBorder="1" applyAlignment="1" applyProtection="1">
      <alignment horizontal="right" vertical="center" wrapText="1"/>
      <protection locked="0"/>
    </xf>
    <xf numFmtId="0" fontId="30" fillId="12" borderId="36" xfId="5" quotePrefix="1" applyFont="1" applyFill="1" applyBorder="1" applyAlignment="1" applyProtection="1">
      <alignment horizontal="right" vertical="center" wrapText="1"/>
      <protection locked="0"/>
    </xf>
    <xf numFmtId="0" fontId="30" fillId="12" borderId="45" xfId="5" applyFont="1" applyFill="1" applyBorder="1" applyAlignment="1" applyProtection="1">
      <alignment horizontal="right" vertical="center" wrapText="1"/>
      <protection locked="0"/>
    </xf>
    <xf numFmtId="0" fontId="30" fillId="12" borderId="46" xfId="5" applyFont="1" applyFill="1" applyBorder="1" applyAlignment="1" applyProtection="1">
      <alignment horizontal="right" vertical="center" wrapText="1"/>
      <protection locked="0"/>
    </xf>
    <xf numFmtId="0" fontId="30" fillId="12" borderId="37" xfId="5" quotePrefix="1" applyFont="1" applyFill="1" applyBorder="1" applyAlignment="1" applyProtection="1">
      <alignment horizontal="left" vertical="center" wrapText="1"/>
      <protection locked="0"/>
    </xf>
    <xf numFmtId="0" fontId="30" fillId="12" borderId="40" xfId="5" quotePrefix="1" applyFont="1" applyFill="1" applyBorder="1" applyAlignment="1" applyProtection="1">
      <alignment horizontal="left" vertical="center" wrapText="1"/>
      <protection locked="0"/>
    </xf>
    <xf numFmtId="0" fontId="48" fillId="25" borderId="33" xfId="5" applyFont="1" applyFill="1" applyBorder="1" applyAlignment="1" applyProtection="1">
      <alignment horizontal="center" vertical="center" wrapText="1"/>
      <protection locked="0"/>
    </xf>
    <xf numFmtId="0" fontId="48" fillId="25" borderId="34" xfId="5" applyFont="1" applyFill="1" applyBorder="1" applyAlignment="1" applyProtection="1">
      <alignment horizontal="center" vertical="center" wrapText="1"/>
      <protection locked="0"/>
    </xf>
    <xf numFmtId="0" fontId="48" fillId="25" borderId="35" xfId="5" applyFont="1" applyFill="1" applyBorder="1" applyAlignment="1" applyProtection="1">
      <alignment horizontal="center" vertical="center" wrapText="1"/>
      <protection locked="0"/>
    </xf>
    <xf numFmtId="0" fontId="28" fillId="12" borderId="2" xfId="5" applyFont="1" applyFill="1" applyBorder="1" applyAlignment="1" applyProtection="1">
      <alignment horizontal="center" vertical="center"/>
      <protection locked="0"/>
    </xf>
    <xf numFmtId="0" fontId="28" fillId="12" borderId="38" xfId="5" applyFont="1" applyFill="1" applyBorder="1" applyAlignment="1" applyProtection="1">
      <alignment horizontal="center" vertical="center"/>
      <protection locked="0"/>
    </xf>
    <xf numFmtId="0" fontId="21" fillId="0" borderId="33" xfId="5" applyFont="1" applyBorder="1" applyAlignment="1" applyProtection="1">
      <alignment horizontal="center" vertical="center"/>
      <protection locked="0"/>
    </xf>
    <xf numFmtId="0" fontId="21" fillId="0" borderId="34" xfId="5" applyFont="1" applyBorder="1" applyAlignment="1" applyProtection="1">
      <alignment horizontal="center" vertical="center"/>
      <protection locked="0"/>
    </xf>
    <xf numFmtId="0" fontId="21" fillId="0" borderId="35" xfId="5" applyFont="1" applyBorder="1" applyAlignment="1" applyProtection="1">
      <alignment horizontal="center" vertical="center"/>
      <protection locked="0"/>
    </xf>
    <xf numFmtId="166" fontId="28" fillId="0" borderId="34" xfId="5" applyNumberFormat="1" applyFont="1" applyBorder="1" applyAlignment="1" applyProtection="1">
      <alignment horizontal="center" vertical="center"/>
      <protection locked="0"/>
    </xf>
    <xf numFmtId="166" fontId="28" fillId="0" borderId="35" xfId="5" applyNumberFormat="1" applyFont="1" applyBorder="1" applyAlignment="1" applyProtection="1">
      <alignment horizontal="center" vertical="center"/>
      <protection locked="0"/>
    </xf>
    <xf numFmtId="0" fontId="85" fillId="0" borderId="20" xfId="0" applyFont="1" applyBorder="1" applyAlignment="1" applyProtection="1">
      <alignment horizontal="center" vertical="center" wrapText="1"/>
      <protection locked="0"/>
    </xf>
    <xf numFmtId="0" fontId="85" fillId="0" borderId="30" xfId="0" applyFont="1" applyBorder="1" applyAlignment="1" applyProtection="1">
      <alignment horizontal="center" vertical="center" wrapText="1"/>
      <protection locked="0"/>
    </xf>
    <xf numFmtId="0" fontId="85" fillId="0" borderId="17" xfId="0" applyFont="1" applyBorder="1" applyAlignment="1" applyProtection="1">
      <alignment horizontal="center" vertical="center" wrapText="1"/>
      <protection locked="0"/>
    </xf>
    <xf numFmtId="0" fontId="85" fillId="0" borderId="15" xfId="0" applyFont="1" applyBorder="1" applyAlignment="1" applyProtection="1">
      <alignment horizontal="center" vertical="center" wrapText="1"/>
      <protection locked="0"/>
    </xf>
    <xf numFmtId="0" fontId="86" fillId="0" borderId="0" xfId="0" applyFont="1" applyAlignment="1" applyProtection="1">
      <alignment horizontal="center" vertical="center" wrapText="1"/>
      <protection locked="0"/>
    </xf>
    <xf numFmtId="0" fontId="86" fillId="0" borderId="15" xfId="0" applyFont="1" applyBorder="1" applyAlignment="1" applyProtection="1">
      <alignment horizontal="center" vertical="center" wrapText="1"/>
      <protection locked="0"/>
    </xf>
    <xf numFmtId="0" fontId="86" fillId="0" borderId="31" xfId="0" applyFont="1" applyBorder="1" applyAlignment="1" applyProtection="1">
      <alignment horizontal="center" vertical="center" wrapText="1"/>
      <protection locked="0"/>
    </xf>
    <xf numFmtId="0" fontId="86" fillId="0" borderId="48"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4" fillId="0" borderId="0" xfId="0" applyFont="1" applyAlignment="1" applyProtection="1">
      <alignment horizontal="center"/>
      <protection locked="0"/>
    </xf>
    <xf numFmtId="0" fontId="52" fillId="0" borderId="8" xfId="0" applyFont="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52" fillId="0" borderId="46" xfId="0" applyFont="1" applyBorder="1" applyAlignment="1" applyProtection="1">
      <alignment horizontal="center" vertical="center" wrapText="1"/>
      <protection locked="0"/>
    </xf>
    <xf numFmtId="0" fontId="52" fillId="0" borderId="29" xfId="0" applyFont="1" applyBorder="1" applyAlignment="1" applyProtection="1">
      <alignment horizontal="center" vertical="center" wrapText="1"/>
      <protection locked="0"/>
    </xf>
    <xf numFmtId="0" fontId="52" fillId="0" borderId="40" xfId="0" applyFont="1" applyBorder="1" applyAlignment="1" applyProtection="1">
      <alignment horizontal="center" vertical="center" wrapText="1"/>
      <protection locked="0"/>
    </xf>
    <xf numFmtId="0" fontId="52" fillId="0" borderId="55" xfId="0" applyFont="1" applyBorder="1" applyAlignment="1" applyProtection="1">
      <alignment horizontal="center" vertical="center" wrapText="1"/>
      <protection locked="0"/>
    </xf>
    <xf numFmtId="10" fontId="18" fillId="14" borderId="6" xfId="2" applyNumberFormat="1" applyFont="1" applyFill="1" applyBorder="1" applyAlignment="1" applyProtection="1">
      <alignment horizontal="center" vertical="center"/>
    </xf>
    <xf numFmtId="10" fontId="18" fillId="14" borderId="9" xfId="2" applyNumberFormat="1" applyFont="1" applyFill="1" applyBorder="1" applyAlignment="1" applyProtection="1">
      <alignment horizontal="center" vertical="center"/>
    </xf>
    <xf numFmtId="0" fontId="40" fillId="0" borderId="83" xfId="1" applyFont="1" applyBorder="1" applyAlignment="1" applyProtection="1">
      <alignment horizontal="center"/>
      <protection locked="0"/>
    </xf>
    <xf numFmtId="0" fontId="40" fillId="0" borderId="84" xfId="1" applyFont="1" applyBorder="1" applyAlignment="1" applyProtection="1">
      <alignment horizontal="center"/>
      <protection locked="0"/>
    </xf>
    <xf numFmtId="10" fontId="18" fillId="14" borderId="12" xfId="2" applyNumberFormat="1" applyFont="1" applyFill="1" applyBorder="1" applyAlignment="1" applyProtection="1">
      <alignment horizontal="center" vertical="center"/>
    </xf>
    <xf numFmtId="171" fontId="18" fillId="10" borderId="49" xfId="5" applyNumberFormat="1" applyFont="1" applyFill="1" applyBorder="1" applyAlignment="1" applyProtection="1">
      <alignment horizontal="left" vertical="center" wrapText="1"/>
      <protection locked="0"/>
    </xf>
    <xf numFmtId="171" fontId="18" fillId="10" borderId="50" xfId="5" applyNumberFormat="1" applyFont="1" applyFill="1" applyBorder="1" applyAlignment="1" applyProtection="1">
      <alignment horizontal="left" vertical="center" wrapText="1"/>
      <protection locked="0"/>
    </xf>
    <xf numFmtId="0" fontId="40" fillId="0" borderId="80" xfId="1" applyFont="1" applyBorder="1" applyAlignment="1" applyProtection="1">
      <alignment horizontal="center"/>
      <protection locked="0"/>
    </xf>
    <xf numFmtId="0" fontId="40" fillId="0" borderId="81" xfId="1" applyFont="1" applyBorder="1" applyAlignment="1" applyProtection="1">
      <alignment horizontal="center"/>
      <protection locked="0"/>
    </xf>
    <xf numFmtId="0" fontId="40" fillId="0" borderId="86" xfId="1" applyFont="1" applyBorder="1" applyAlignment="1" applyProtection="1">
      <alignment horizontal="center"/>
      <protection locked="0"/>
    </xf>
    <xf numFmtId="0" fontId="40" fillId="0" borderId="87" xfId="1" applyFont="1" applyBorder="1" applyAlignment="1" applyProtection="1">
      <alignment horizontal="center"/>
      <protection locked="0"/>
    </xf>
    <xf numFmtId="0" fontId="17" fillId="0" borderId="8" xfId="1" applyFont="1" applyBorder="1" applyAlignment="1" applyProtection="1">
      <alignment horizontal="left" vertical="center"/>
      <protection locked="0"/>
    </xf>
    <xf numFmtId="0" fontId="9" fillId="0" borderId="21" xfId="1" applyFont="1" applyBorder="1" applyAlignment="1" applyProtection="1">
      <alignment horizontal="center" vertical="center"/>
      <protection locked="0"/>
    </xf>
    <xf numFmtId="0" fontId="9" fillId="0" borderId="30" xfId="1" applyFont="1" applyBorder="1" applyAlignment="1" applyProtection="1">
      <alignment horizontal="center" vertical="center"/>
      <protection locked="0"/>
    </xf>
    <xf numFmtId="0" fontId="7" fillId="0" borderId="46" xfId="1" applyFont="1" applyBorder="1" applyAlignment="1" applyProtection="1">
      <alignment horizontal="center" vertical="center"/>
      <protection locked="0"/>
    </xf>
    <xf numFmtId="0" fontId="7" fillId="0" borderId="29" xfId="1" applyFont="1" applyBorder="1" applyAlignment="1" applyProtection="1">
      <alignment horizontal="center" vertical="center"/>
      <protection locked="0"/>
    </xf>
    <xf numFmtId="0" fontId="7" fillId="0" borderId="43" xfId="1" applyFont="1" applyBorder="1" applyAlignment="1" applyProtection="1">
      <alignment horizontal="center" vertical="center"/>
      <protection locked="0"/>
    </xf>
    <xf numFmtId="0" fontId="17" fillId="0" borderId="8" xfId="1" applyFont="1" applyBorder="1" applyAlignment="1" applyProtection="1">
      <alignment horizontal="center" vertical="center"/>
      <protection locked="0"/>
    </xf>
    <xf numFmtId="0" fontId="17" fillId="0" borderId="24" xfId="1" applyFont="1" applyBorder="1" applyAlignment="1" applyProtection="1">
      <alignment horizontal="left" vertical="center"/>
      <protection locked="0"/>
    </xf>
    <xf numFmtId="0" fontId="17" fillId="0" borderId="20" xfId="1" applyFont="1" applyBorder="1" applyAlignment="1" applyProtection="1">
      <alignment horizontal="center"/>
      <protection locked="0"/>
    </xf>
    <xf numFmtId="0" fontId="17" fillId="0" borderId="21" xfId="1" applyFont="1" applyBorder="1" applyAlignment="1" applyProtection="1">
      <alignment horizontal="center"/>
      <protection locked="0"/>
    </xf>
    <xf numFmtId="0" fontId="17" fillId="0" borderId="30" xfId="1" applyFont="1" applyBorder="1" applyAlignment="1" applyProtection="1">
      <alignment horizontal="center"/>
      <protection locked="0"/>
    </xf>
    <xf numFmtId="0" fontId="87" fillId="0" borderId="0" xfId="0" applyFont="1" applyProtection="1">
      <protection locked="0"/>
    </xf>
    <xf numFmtId="0" fontId="52" fillId="0" borderId="45" xfId="0" applyFont="1" applyBorder="1" applyAlignment="1" applyProtection="1">
      <alignment vertical="center" wrapText="1"/>
      <protection locked="0"/>
    </xf>
    <xf numFmtId="0" fontId="89" fillId="47" borderId="0" xfId="0" applyFont="1" applyFill="1" applyAlignment="1" applyProtection="1">
      <alignment horizontal="center"/>
      <protection locked="0"/>
    </xf>
    <xf numFmtId="0" fontId="2" fillId="0" borderId="39" xfId="0" applyFont="1" applyBorder="1" applyAlignment="1" applyProtection="1">
      <alignment vertical="top" wrapText="1"/>
      <protection locked="0"/>
    </xf>
    <xf numFmtId="0" fontId="2" fillId="0" borderId="37" xfId="0" applyFont="1" applyBorder="1" applyAlignment="1" applyProtection="1">
      <alignment vertical="top" wrapText="1"/>
      <protection locked="0"/>
    </xf>
    <xf numFmtId="0" fontId="67" fillId="0" borderId="38" xfId="0" applyFont="1" applyFill="1" applyBorder="1" applyAlignment="1" applyProtection="1">
      <alignment horizontal="left" vertical="top" wrapText="1"/>
      <protection locked="0"/>
    </xf>
    <xf numFmtId="0" fontId="67" fillId="0" borderId="1" xfId="0" applyFont="1" applyFill="1" applyBorder="1" applyAlignment="1" applyProtection="1">
      <alignment horizontal="left" vertical="top" wrapText="1"/>
      <protection locked="0"/>
    </xf>
    <xf numFmtId="0" fontId="67" fillId="0" borderId="2" xfId="0" applyFont="1" applyFill="1" applyBorder="1" applyAlignment="1" applyProtection="1">
      <alignment horizontal="left" vertical="top" wrapText="1"/>
      <protection locked="0"/>
    </xf>
    <xf numFmtId="0" fontId="67" fillId="0" borderId="3" xfId="0" applyFont="1" applyFill="1" applyBorder="1" applyAlignment="1" applyProtection="1">
      <alignment horizontal="left" vertical="top" wrapText="1"/>
      <protection locked="0"/>
    </xf>
    <xf numFmtId="0" fontId="2" fillId="0" borderId="17" xfId="0" applyFont="1" applyBorder="1" applyAlignment="1" applyProtection="1">
      <alignment horizontal="left" vertical="top" wrapText="1"/>
      <protection locked="0"/>
    </xf>
    <xf numFmtId="0" fontId="2" fillId="0" borderId="0" xfId="0" applyFont="1" applyBorder="1" applyAlignment="1" applyProtection="1">
      <alignment horizontal="center" vertical="top" wrapText="1"/>
      <protection locked="0"/>
    </xf>
    <xf numFmtId="0" fontId="2" fillId="0" borderId="41" xfId="0" applyFont="1" applyBorder="1" applyAlignment="1" applyProtection="1">
      <alignment vertical="top" wrapText="1"/>
      <protection locked="0"/>
    </xf>
    <xf numFmtId="0" fontId="2" fillId="0" borderId="112" xfId="0" applyFont="1" applyBorder="1" applyAlignment="1" applyProtection="1">
      <alignment vertical="top" wrapText="1"/>
      <protection locked="0"/>
    </xf>
    <xf numFmtId="0" fontId="14" fillId="14" borderId="0" xfId="0" applyFont="1" applyFill="1" applyProtection="1"/>
    <xf numFmtId="0" fontId="1" fillId="16" borderId="1" xfId="0" applyFont="1" applyFill="1" applyBorder="1" applyAlignment="1" applyProtection="1">
      <alignment horizontal="center" vertical="center" wrapText="1"/>
      <protection locked="0"/>
    </xf>
    <xf numFmtId="0" fontId="1" fillId="16" borderId="2" xfId="0" applyFont="1" applyFill="1" applyBorder="1" applyAlignment="1" applyProtection="1">
      <alignment horizontal="center" vertical="center" wrapText="1"/>
      <protection locked="0"/>
    </xf>
    <xf numFmtId="0" fontId="1" fillId="16" borderId="3" xfId="0" applyFont="1" applyFill="1" applyBorder="1" applyAlignment="1" applyProtection="1">
      <alignment horizontal="center" vertical="center" wrapText="1"/>
      <protection locked="0"/>
    </xf>
    <xf numFmtId="0" fontId="18" fillId="7" borderId="60" xfId="0" applyFont="1" applyFill="1" applyBorder="1" applyProtection="1"/>
    <xf numFmtId="0" fontId="0" fillId="0" borderId="8" xfId="0" applyBorder="1" applyProtection="1">
      <protection locked="0"/>
    </xf>
    <xf numFmtId="0" fontId="14" fillId="0" borderId="8" xfId="0" applyFont="1" applyBorder="1" applyProtection="1">
      <protection locked="0"/>
    </xf>
    <xf numFmtId="0" fontId="0" fillId="0" borderId="8" xfId="0" applyBorder="1" applyAlignment="1" applyProtection="1">
      <alignment wrapText="1"/>
      <protection locked="0"/>
    </xf>
    <xf numFmtId="191" fontId="79" fillId="0" borderId="0" xfId="0" applyNumberFormat="1" applyFont="1" applyProtection="1">
      <protection locked="0"/>
    </xf>
    <xf numFmtId="191" fontId="14" fillId="0" borderId="0" xfId="0" applyNumberFormat="1" applyFont="1" applyProtection="1">
      <protection locked="0"/>
    </xf>
    <xf numFmtId="191" fontId="0" fillId="0" borderId="0" xfId="0" applyNumberFormat="1" applyProtection="1">
      <protection locked="0"/>
    </xf>
    <xf numFmtId="0" fontId="18" fillId="0" borderId="0" xfId="5" applyFont="1" applyProtection="1">
      <protection locked="0"/>
    </xf>
    <xf numFmtId="0" fontId="19" fillId="0" borderId="0" xfId="5" applyFont="1" applyAlignment="1" applyProtection="1">
      <alignment horizontal="center" vertical="center" wrapText="1"/>
      <protection locked="0"/>
    </xf>
    <xf numFmtId="0" fontId="19" fillId="0" borderId="0" xfId="5" applyFont="1" applyAlignment="1" applyProtection="1">
      <alignment horizontal="center" vertical="center" wrapText="1"/>
      <protection locked="0"/>
    </xf>
    <xf numFmtId="44" fontId="21" fillId="0" borderId="0" xfId="5" applyNumberFormat="1" applyFont="1" applyAlignment="1" applyProtection="1">
      <alignment vertical="center" wrapText="1"/>
      <protection locked="0"/>
    </xf>
    <xf numFmtId="0" fontId="19" fillId="0" borderId="0" xfId="5" applyFont="1" applyAlignment="1" applyProtection="1">
      <alignment vertical="center" wrapText="1"/>
      <protection locked="0"/>
    </xf>
    <xf numFmtId="0" fontId="21" fillId="16" borderId="0" xfId="5" applyFont="1" applyFill="1" applyAlignment="1" applyProtection="1">
      <alignment horizontal="center" vertical="center"/>
      <protection locked="0"/>
    </xf>
    <xf numFmtId="0" fontId="21" fillId="16" borderId="8" xfId="5" applyFont="1" applyFill="1" applyBorder="1" applyAlignment="1" applyProtection="1">
      <alignment vertical="center"/>
      <protection locked="0"/>
    </xf>
    <xf numFmtId="170" fontId="23" fillId="16" borderId="8" xfId="8" applyFont="1" applyFill="1" applyBorder="1" applyAlignment="1" applyProtection="1">
      <alignment horizontal="center" vertical="center"/>
      <protection locked="0"/>
    </xf>
    <xf numFmtId="0" fontId="21" fillId="16" borderId="8" xfId="5" applyFont="1" applyFill="1" applyBorder="1" applyAlignment="1" applyProtection="1">
      <alignment horizontal="center" vertical="center"/>
      <protection locked="0"/>
    </xf>
    <xf numFmtId="170" fontId="23" fillId="16" borderId="36" xfId="8" applyFont="1" applyFill="1" applyBorder="1" applyAlignment="1" applyProtection="1">
      <alignment horizontal="center" vertical="center"/>
      <protection locked="0"/>
    </xf>
    <xf numFmtId="170" fontId="23" fillId="16" borderId="23" xfId="8" applyFont="1" applyFill="1" applyBorder="1" applyAlignment="1" applyProtection="1">
      <alignment horizontal="center" vertical="center"/>
      <protection locked="0"/>
    </xf>
    <xf numFmtId="170" fontId="23" fillId="16" borderId="24" xfId="8" applyFont="1" applyFill="1" applyBorder="1" applyAlignment="1" applyProtection="1">
      <alignment horizontal="center" vertical="center"/>
      <protection locked="0"/>
    </xf>
    <xf numFmtId="170" fontId="23" fillId="16" borderId="8" xfId="8" applyFont="1" applyFill="1" applyBorder="1" applyAlignment="1" applyProtection="1">
      <alignment vertical="center"/>
      <protection locked="0"/>
    </xf>
    <xf numFmtId="1" fontId="18" fillId="0" borderId="0" xfId="5" applyNumberFormat="1" applyFont="1" applyAlignment="1" applyProtection="1">
      <alignment vertical="center"/>
      <protection locked="0"/>
    </xf>
    <xf numFmtId="0" fontId="21" fillId="7" borderId="8" xfId="0" applyFont="1" applyFill="1" applyBorder="1" applyProtection="1"/>
    <xf numFmtId="0" fontId="21" fillId="7" borderId="0" xfId="0" applyFont="1" applyFill="1" applyProtection="1"/>
    <xf numFmtId="0" fontId="21" fillId="14" borderId="33" xfId="5" applyFont="1" applyFill="1" applyBorder="1" applyAlignment="1" applyProtection="1">
      <alignment vertical="center"/>
    </xf>
    <xf numFmtId="0" fontId="21" fillId="14" borderId="34" xfId="5" applyFont="1" applyFill="1" applyBorder="1" applyAlignment="1" applyProtection="1">
      <alignment vertical="center"/>
    </xf>
    <xf numFmtId="169" fontId="18" fillId="14" borderId="34" xfId="5" applyNumberFormat="1" applyFont="1" applyFill="1" applyBorder="1" applyAlignment="1" applyProtection="1">
      <alignment vertical="center"/>
    </xf>
    <xf numFmtId="169" fontId="21" fillId="14" borderId="34" xfId="5" applyNumberFormat="1" applyFont="1" applyFill="1" applyBorder="1" applyAlignment="1" applyProtection="1">
      <alignment vertical="center"/>
    </xf>
    <xf numFmtId="44" fontId="21" fillId="14" borderId="34" xfId="5" applyNumberFormat="1" applyFont="1" applyFill="1" applyBorder="1" applyAlignment="1" applyProtection="1">
      <alignment vertical="center"/>
    </xf>
    <xf numFmtId="44" fontId="21" fillId="14" borderId="35" xfId="5" applyNumberFormat="1" applyFont="1" applyFill="1" applyBorder="1" applyAlignment="1" applyProtection="1">
      <alignment vertical="center"/>
    </xf>
    <xf numFmtId="0" fontId="21" fillId="14" borderId="33" xfId="7" applyFont="1" applyFill="1" applyBorder="1" applyAlignment="1" applyProtection="1">
      <alignment horizontal="left" vertical="center"/>
    </xf>
    <xf numFmtId="166" fontId="18" fillId="14" borderId="34" xfId="5" applyNumberFormat="1" applyFont="1" applyFill="1" applyBorder="1" applyAlignment="1" applyProtection="1">
      <alignment vertical="center"/>
    </xf>
    <xf numFmtId="166" fontId="21" fillId="14" borderId="34" xfId="5" applyNumberFormat="1" applyFont="1" applyFill="1" applyBorder="1" applyAlignment="1" applyProtection="1">
      <alignment vertical="center"/>
    </xf>
    <xf numFmtId="0" fontId="18" fillId="14" borderId="34" xfId="5" applyFont="1" applyFill="1" applyBorder="1" applyAlignment="1" applyProtection="1">
      <alignment vertical="center"/>
    </xf>
    <xf numFmtId="0" fontId="18" fillId="14" borderId="35" xfId="5" applyFont="1" applyFill="1" applyBorder="1" applyAlignment="1" applyProtection="1">
      <alignment vertical="center"/>
    </xf>
    <xf numFmtId="0" fontId="18" fillId="14" borderId="0" xfId="5" applyFont="1" applyFill="1" applyAlignment="1" applyProtection="1">
      <alignment vertical="center"/>
    </xf>
    <xf numFmtId="169" fontId="18" fillId="14" borderId="0" xfId="5" applyNumberFormat="1" applyFont="1" applyFill="1" applyAlignment="1" applyProtection="1">
      <alignment vertical="center"/>
    </xf>
    <xf numFmtId="0" fontId="0" fillId="14" borderId="0" xfId="0" applyFill="1" applyProtection="1"/>
    <xf numFmtId="0" fontId="0" fillId="14" borderId="0" xfId="0" applyFill="1" applyAlignment="1" applyProtection="1">
      <alignment horizontal="left"/>
    </xf>
    <xf numFmtId="44" fontId="0" fillId="14" borderId="0" xfId="0" applyNumberFormat="1" applyFill="1" applyProtection="1"/>
    <xf numFmtId="0" fontId="60" fillId="30" borderId="0" xfId="12" applyFont="1" applyFill="1" applyAlignment="1" applyProtection="1">
      <alignment horizontal="center" vertical="center" wrapText="1"/>
      <protection locked="0"/>
    </xf>
    <xf numFmtId="0" fontId="59" fillId="0" borderId="0" xfId="12" applyProtection="1">
      <protection locked="0"/>
    </xf>
    <xf numFmtId="0" fontId="61" fillId="31" borderId="0" xfId="12" applyFont="1" applyFill="1" applyAlignment="1" applyProtection="1">
      <alignment horizontal="center" vertical="center" wrapText="1"/>
      <protection locked="0"/>
    </xf>
    <xf numFmtId="0" fontId="62" fillId="32" borderId="0" xfId="12" applyFont="1" applyFill="1" applyAlignment="1" applyProtection="1">
      <alignment horizontal="center" vertical="center" wrapText="1"/>
      <protection locked="0"/>
    </xf>
    <xf numFmtId="0" fontId="63" fillId="33" borderId="97" xfId="12" applyFont="1" applyFill="1" applyBorder="1" applyAlignment="1" applyProtection="1">
      <alignment horizontal="center" vertical="center" wrapText="1"/>
      <protection locked="0"/>
    </xf>
    <xf numFmtId="0" fontId="64" fillId="34" borderId="0" xfId="12" applyFont="1" applyFill="1" applyAlignment="1" applyProtection="1">
      <alignment horizontal="left" vertical="center" wrapText="1"/>
      <protection locked="0"/>
    </xf>
    <xf numFmtId="0" fontId="64" fillId="34" borderId="98" xfId="12" applyFont="1" applyFill="1" applyBorder="1" applyAlignment="1" applyProtection="1">
      <alignment horizontal="center" vertical="center" wrapText="1"/>
      <protection locked="0"/>
    </xf>
    <xf numFmtId="0" fontId="65" fillId="35" borderId="98" xfId="12" applyFont="1" applyFill="1" applyBorder="1" applyAlignment="1" applyProtection="1">
      <alignment horizontal="left" vertical="center" wrapText="1"/>
      <protection locked="0"/>
    </xf>
    <xf numFmtId="185" fontId="66" fillId="31" borderId="98" xfId="12" applyNumberFormat="1" applyFont="1" applyFill="1" applyBorder="1" applyAlignment="1" applyProtection="1">
      <alignment horizontal="center" vertical="center" wrapText="1"/>
      <protection locked="0"/>
    </xf>
    <xf numFmtId="0" fontId="67" fillId="33" borderId="98" xfId="12" applyFont="1" applyFill="1" applyBorder="1" applyAlignment="1" applyProtection="1">
      <alignment horizontal="left" vertical="center" wrapText="1"/>
      <protection locked="0"/>
    </xf>
    <xf numFmtId="1" fontId="68" fillId="32" borderId="98" xfId="12" applyNumberFormat="1" applyFont="1" applyFill="1" applyBorder="1" applyAlignment="1" applyProtection="1">
      <alignment horizontal="center" vertical="center" wrapText="1"/>
      <protection locked="0"/>
    </xf>
    <xf numFmtId="2" fontId="68" fillId="36" borderId="98" xfId="12" applyNumberFormat="1" applyFont="1" applyFill="1" applyBorder="1" applyAlignment="1" applyProtection="1">
      <alignment horizontal="center" vertical="center" wrapText="1"/>
      <protection locked="0"/>
    </xf>
    <xf numFmtId="2" fontId="66" fillId="31" borderId="98" xfId="12" applyNumberFormat="1" applyFont="1" applyFill="1" applyBorder="1" applyAlignment="1" applyProtection="1">
      <alignment horizontal="center" vertical="center" wrapText="1"/>
      <protection locked="0"/>
    </xf>
    <xf numFmtId="0" fontId="67" fillId="37" borderId="98" xfId="12" applyFont="1" applyFill="1" applyBorder="1" applyAlignment="1" applyProtection="1">
      <alignment horizontal="left" vertical="center" wrapText="1"/>
      <protection locked="0"/>
    </xf>
    <xf numFmtId="0" fontId="69" fillId="35" borderId="98" xfId="12" applyFont="1" applyFill="1" applyBorder="1" applyAlignment="1" applyProtection="1">
      <alignment horizontal="left" vertical="center" wrapText="1"/>
      <protection locked="0"/>
    </xf>
    <xf numFmtId="9" fontId="68" fillId="32" borderId="98" xfId="13" applyFont="1" applyFill="1" applyBorder="1" applyAlignment="1" applyProtection="1">
      <alignment horizontal="center" vertical="center" wrapText="1"/>
      <protection locked="0"/>
    </xf>
    <xf numFmtId="186" fontId="71" fillId="32" borderId="98" xfId="12" applyNumberFormat="1" applyFont="1" applyFill="1" applyBorder="1" applyAlignment="1" applyProtection="1">
      <alignment horizontal="center" vertical="center" wrapText="1"/>
      <protection locked="0"/>
    </xf>
    <xf numFmtId="0" fontId="72" fillId="34" borderId="98" xfId="12" applyFont="1" applyFill="1" applyBorder="1" applyAlignment="1" applyProtection="1">
      <alignment horizontal="center" vertical="center" wrapText="1"/>
      <protection locked="0"/>
    </xf>
    <xf numFmtId="0" fontId="64" fillId="0" borderId="98" xfId="12" applyFont="1" applyBorder="1" applyAlignment="1" applyProtection="1">
      <alignment horizontal="center" vertical="center" wrapText="1"/>
      <protection locked="0"/>
    </xf>
    <xf numFmtId="0" fontId="66" fillId="31" borderId="98" xfId="12" applyFont="1" applyFill="1" applyBorder="1" applyAlignment="1" applyProtection="1">
      <alignment horizontal="center" vertical="center" wrapText="1"/>
      <protection locked="0"/>
    </xf>
    <xf numFmtId="0" fontId="67" fillId="0" borderId="98" xfId="12" applyFont="1" applyBorder="1" applyAlignment="1" applyProtection="1">
      <alignment horizontal="left" vertical="center" wrapText="1"/>
      <protection locked="0"/>
    </xf>
    <xf numFmtId="0" fontId="73" fillId="35" borderId="98" xfId="12" applyFont="1" applyFill="1" applyBorder="1" applyAlignment="1" applyProtection="1">
      <alignment horizontal="left" vertical="center" wrapText="1"/>
      <protection locked="0"/>
    </xf>
    <xf numFmtId="0" fontId="74" fillId="35" borderId="98" xfId="12" applyFont="1" applyFill="1" applyBorder="1" applyAlignment="1" applyProtection="1">
      <alignment horizontal="left" vertical="center" wrapText="1"/>
      <protection locked="0"/>
    </xf>
    <xf numFmtId="0" fontId="75" fillId="32" borderId="98" xfId="12" applyFont="1" applyFill="1" applyBorder="1" applyAlignment="1" applyProtection="1">
      <alignment horizontal="center" vertical="center" wrapText="1"/>
      <protection locked="0"/>
    </xf>
    <xf numFmtId="0" fontId="76" fillId="38" borderId="0" xfId="12" applyFont="1" applyFill="1" applyAlignment="1" applyProtection="1">
      <alignment horizontal="center" vertical="center" wrapText="1"/>
      <protection locked="0"/>
    </xf>
    <xf numFmtId="187" fontId="66" fillId="31" borderId="98" xfId="12" applyNumberFormat="1" applyFont="1" applyFill="1" applyBorder="1" applyAlignment="1" applyProtection="1">
      <alignment horizontal="center" vertical="center" wrapText="1"/>
      <protection locked="0"/>
    </xf>
    <xf numFmtId="0" fontId="72" fillId="34" borderId="0" xfId="12" applyFont="1" applyFill="1" applyAlignment="1" applyProtection="1">
      <alignment horizontal="left" vertical="center" wrapText="1"/>
      <protection locked="0"/>
    </xf>
    <xf numFmtId="0" fontId="69" fillId="33" borderId="0" xfId="12" applyFont="1" applyFill="1" applyAlignment="1" applyProtection="1">
      <alignment horizontal="left" vertical="center" wrapText="1"/>
      <protection locked="0"/>
    </xf>
    <xf numFmtId="0" fontId="59" fillId="0" borderId="99" xfId="12" applyBorder="1" applyProtection="1">
      <protection locked="0"/>
    </xf>
    <xf numFmtId="2" fontId="59" fillId="0" borderId="0" xfId="12" applyNumberFormat="1" applyProtection="1">
      <protection locked="0"/>
    </xf>
    <xf numFmtId="2" fontId="68" fillId="32" borderId="98" xfId="12" applyNumberFormat="1" applyFont="1" applyFill="1" applyBorder="1" applyAlignment="1" applyProtection="1">
      <alignment horizontal="right" vertical="center" wrapText="1"/>
      <protection locked="0"/>
    </xf>
    <xf numFmtId="0" fontId="65" fillId="39" borderId="98" xfId="12" applyFont="1" applyFill="1" applyBorder="1" applyAlignment="1" applyProtection="1">
      <alignment horizontal="right" vertical="center" wrapText="1"/>
      <protection locked="0"/>
    </xf>
    <xf numFmtId="0" fontId="77" fillId="31" borderId="98" xfId="12" applyFont="1" applyFill="1" applyBorder="1" applyAlignment="1" applyProtection="1">
      <alignment horizontal="center" vertical="center" wrapText="1"/>
      <protection locked="0"/>
    </xf>
    <xf numFmtId="0" fontId="64" fillId="34" borderId="100" xfId="12" applyFont="1" applyFill="1" applyBorder="1" applyAlignment="1" applyProtection="1">
      <alignment horizontal="center" vertical="center" wrapText="1"/>
      <protection locked="0"/>
    </xf>
    <xf numFmtId="0" fontId="64" fillId="34" borderId="101" xfId="12" applyFont="1" applyFill="1" applyBorder="1" applyAlignment="1" applyProtection="1">
      <alignment horizontal="center" vertical="center" wrapText="1"/>
      <protection locked="0"/>
    </xf>
    <xf numFmtId="1" fontId="66" fillId="31" borderId="98" xfId="12" applyNumberFormat="1" applyFont="1" applyFill="1" applyBorder="1" applyAlignment="1" applyProtection="1">
      <alignment horizontal="center" vertical="center" wrapText="1"/>
      <protection locked="0"/>
    </xf>
    <xf numFmtId="3" fontId="68" fillId="32" borderId="100" xfId="12" applyNumberFormat="1" applyFont="1" applyFill="1" applyBorder="1" applyAlignment="1" applyProtection="1">
      <alignment horizontal="right" vertical="center" wrapText="1"/>
      <protection locked="0"/>
    </xf>
    <xf numFmtId="1" fontId="66" fillId="31" borderId="101" xfId="12" applyNumberFormat="1" applyFont="1" applyFill="1" applyBorder="1" applyAlignment="1" applyProtection="1">
      <alignment horizontal="center" vertical="center" wrapText="1"/>
      <protection locked="0"/>
    </xf>
    <xf numFmtId="3" fontId="68" fillId="32" borderId="102" xfId="12" applyNumberFormat="1" applyFont="1" applyFill="1" applyBorder="1" applyAlignment="1" applyProtection="1">
      <alignment horizontal="right" vertical="center" wrapText="1"/>
      <protection locked="0"/>
    </xf>
    <xf numFmtId="1" fontId="66" fillId="31" borderId="103" xfId="12" applyNumberFormat="1" applyFont="1" applyFill="1" applyBorder="1" applyAlignment="1" applyProtection="1">
      <alignment horizontal="center" vertical="center" wrapText="1"/>
      <protection locked="0"/>
    </xf>
    <xf numFmtId="2" fontId="66" fillId="32" borderId="98" xfId="12" applyNumberFormat="1" applyFont="1" applyFill="1" applyBorder="1" applyAlignment="1" applyProtection="1">
      <alignment horizontal="right" vertical="center" wrapText="1"/>
      <protection locked="0"/>
    </xf>
    <xf numFmtId="3" fontId="69" fillId="32" borderId="98" xfId="12" applyNumberFormat="1" applyFont="1" applyFill="1" applyBorder="1" applyAlignment="1" applyProtection="1">
      <alignment horizontal="right" vertical="center" wrapText="1"/>
      <protection locked="0"/>
    </xf>
    <xf numFmtId="0" fontId="64" fillId="30" borderId="0" xfId="12" applyFont="1" applyFill="1" applyAlignment="1" applyProtection="1">
      <alignment horizontal="left" vertical="center" wrapText="1"/>
      <protection locked="0"/>
    </xf>
    <xf numFmtId="3" fontId="78" fillId="32" borderId="98" xfId="12" applyNumberFormat="1" applyFont="1" applyFill="1" applyBorder="1" applyAlignment="1" applyProtection="1">
      <alignment horizontal="right" vertical="center" wrapText="1"/>
      <protection locked="0"/>
    </xf>
    <xf numFmtId="188" fontId="78" fillId="32" borderId="98" xfId="12" applyNumberFormat="1" applyFont="1" applyFill="1" applyBorder="1" applyAlignment="1" applyProtection="1">
      <alignment horizontal="right" vertical="center" wrapText="1"/>
      <protection locked="0"/>
    </xf>
    <xf numFmtId="0" fontId="74" fillId="35" borderId="0" xfId="12" applyFont="1" applyFill="1" applyAlignment="1" applyProtection="1">
      <alignment horizontal="left" vertical="center" wrapText="1"/>
      <protection locked="0"/>
    </xf>
    <xf numFmtId="0" fontId="76" fillId="40" borderId="104" xfId="12" applyFont="1" applyFill="1" applyBorder="1" applyAlignment="1" applyProtection="1">
      <alignment horizontal="center" vertical="center" wrapText="1"/>
      <protection locked="0"/>
    </xf>
    <xf numFmtId="0" fontId="64" fillId="30" borderId="0" xfId="12" applyFont="1" applyFill="1" applyAlignment="1" applyProtection="1">
      <alignment horizontal="left" vertical="center"/>
      <protection locked="0"/>
    </xf>
    <xf numFmtId="0" fontId="64" fillId="34" borderId="0" xfId="12" applyFont="1" applyFill="1" applyAlignment="1" applyProtection="1">
      <alignment horizontal="left" vertical="center"/>
      <protection locked="0"/>
    </xf>
    <xf numFmtId="0" fontId="64" fillId="41" borderId="98" xfId="12" applyFont="1" applyFill="1" applyBorder="1" applyAlignment="1" applyProtection="1">
      <alignment horizontal="center" vertical="center" wrapText="1"/>
      <protection locked="0"/>
    </xf>
    <xf numFmtId="0" fontId="65" fillId="42" borderId="98" xfId="12" applyFont="1" applyFill="1" applyBorder="1" applyAlignment="1" applyProtection="1">
      <alignment horizontal="left" vertical="center" wrapText="1"/>
      <protection locked="0"/>
    </xf>
    <xf numFmtId="188" fontId="65" fillId="42" borderId="98" xfId="12" applyNumberFormat="1" applyFont="1" applyFill="1" applyBorder="1" applyAlignment="1" applyProtection="1">
      <alignment horizontal="right" vertical="center" wrapText="1"/>
      <protection locked="0"/>
    </xf>
    <xf numFmtId="187" fontId="65" fillId="42" borderId="98" xfId="12" applyNumberFormat="1" applyFont="1" applyFill="1" applyBorder="1" applyAlignment="1" applyProtection="1">
      <alignment horizontal="right" vertical="center" wrapText="1"/>
      <protection locked="0"/>
    </xf>
    <xf numFmtId="183" fontId="65" fillId="42" borderId="98" xfId="12" applyNumberFormat="1" applyFont="1" applyFill="1" applyBorder="1" applyAlignment="1" applyProtection="1">
      <alignment horizontal="right" vertical="center" wrapText="1"/>
      <protection locked="0"/>
    </xf>
    <xf numFmtId="0" fontId="65" fillId="42" borderId="98" xfId="12" applyFont="1" applyFill="1" applyBorder="1" applyAlignment="1" applyProtection="1">
      <alignment horizontal="right" vertical="center" wrapText="1"/>
      <protection locked="0"/>
    </xf>
    <xf numFmtId="0" fontId="28" fillId="6" borderId="0" xfId="5" applyFont="1" applyFill="1" applyAlignment="1" applyProtection="1">
      <alignment vertical="center"/>
      <protection locked="0"/>
    </xf>
    <xf numFmtId="0" fontId="18" fillId="6" borderId="0" xfId="5" applyFont="1" applyFill="1" applyAlignment="1" applyProtection="1">
      <alignment horizontal="center" vertical="center"/>
      <protection locked="0"/>
    </xf>
    <xf numFmtId="0" fontId="21" fillId="27" borderId="8" xfId="5" applyFont="1" applyFill="1" applyBorder="1" applyAlignment="1" applyProtection="1">
      <alignment horizontal="center" vertical="center"/>
      <protection locked="0"/>
    </xf>
    <xf numFmtId="0" fontId="18" fillId="27" borderId="0" xfId="5" applyFont="1" applyFill="1" applyAlignment="1" applyProtection="1">
      <alignment vertical="center"/>
      <protection locked="0"/>
    </xf>
    <xf numFmtId="0" fontId="21" fillId="6" borderId="50" xfId="5" applyFont="1" applyFill="1" applyBorder="1" applyAlignment="1" applyProtection="1">
      <alignment horizontal="center" vertical="center"/>
      <protection locked="0"/>
    </xf>
    <xf numFmtId="0" fontId="21" fillId="0" borderId="34" xfId="5" applyFont="1" applyBorder="1" applyAlignment="1" applyProtection="1">
      <alignment vertical="center"/>
      <protection locked="0"/>
    </xf>
    <xf numFmtId="0" fontId="21" fillId="0" borderId="35" xfId="5" applyFont="1" applyBorder="1" applyAlignment="1" applyProtection="1">
      <alignment vertical="center"/>
      <protection locked="0"/>
    </xf>
    <xf numFmtId="0" fontId="28" fillId="27" borderId="44" xfId="5" applyFont="1" applyFill="1" applyBorder="1" applyAlignment="1" applyProtection="1">
      <alignment horizontal="center" vertical="center" wrapText="1"/>
      <protection locked="0"/>
    </xf>
    <xf numFmtId="166" fontId="28" fillId="0" borderId="34" xfId="5" applyNumberFormat="1" applyFont="1" applyBorder="1" applyAlignment="1" applyProtection="1">
      <alignment vertical="center"/>
      <protection locked="0"/>
    </xf>
    <xf numFmtId="166" fontId="28" fillId="0" borderId="35" xfId="5" applyNumberFormat="1" applyFont="1" applyBorder="1" applyAlignment="1" applyProtection="1">
      <alignment vertical="center"/>
      <protection locked="0"/>
    </xf>
    <xf numFmtId="0" fontId="28" fillId="11" borderId="20" xfId="5" applyFont="1" applyFill="1" applyBorder="1" applyAlignment="1" applyProtection="1">
      <alignment horizontal="center" vertical="center"/>
      <protection locked="0"/>
    </xf>
    <xf numFmtId="0" fontId="28" fillId="11" borderId="21" xfId="5" applyFont="1" applyFill="1" applyBorder="1" applyAlignment="1" applyProtection="1">
      <alignment horizontal="center" vertical="center"/>
      <protection locked="0"/>
    </xf>
    <xf numFmtId="0" fontId="28" fillId="11" borderId="30" xfId="5" applyFont="1" applyFill="1" applyBorder="1" applyAlignment="1" applyProtection="1">
      <alignment horizontal="center" vertical="center"/>
      <protection locked="0"/>
    </xf>
    <xf numFmtId="0" fontId="28" fillId="11" borderId="30" xfId="5" applyFont="1" applyFill="1" applyBorder="1" applyAlignment="1" applyProtection="1">
      <alignment horizontal="center" vertical="center"/>
      <protection locked="0"/>
    </xf>
    <xf numFmtId="0" fontId="28" fillId="27" borderId="30" xfId="5" applyFont="1" applyFill="1" applyBorder="1" applyAlignment="1" applyProtection="1">
      <alignment horizontal="center" vertical="center"/>
      <protection locked="0"/>
    </xf>
    <xf numFmtId="166" fontId="28" fillId="11" borderId="44" xfId="5" applyNumberFormat="1" applyFont="1" applyFill="1" applyBorder="1" applyAlignment="1" applyProtection="1">
      <alignment horizontal="center" vertical="center" wrapText="1"/>
      <protection locked="0"/>
    </xf>
    <xf numFmtId="0" fontId="18" fillId="0" borderId="0" xfId="5" applyFont="1" applyAlignment="1" applyProtection="1">
      <alignment vertical="center" wrapText="1"/>
      <protection locked="0"/>
    </xf>
    <xf numFmtId="0" fontId="28" fillId="11" borderId="47" xfId="5" applyFont="1" applyFill="1" applyBorder="1" applyAlignment="1" applyProtection="1">
      <alignment horizontal="center" vertical="center"/>
      <protection locked="0"/>
    </xf>
    <xf numFmtId="0" fontId="28" fillId="11" borderId="31" xfId="5" applyFont="1" applyFill="1" applyBorder="1" applyAlignment="1" applyProtection="1">
      <alignment horizontal="center" vertical="center"/>
      <protection locked="0"/>
    </xf>
    <xf numFmtId="0" fontId="28" fillId="11" borderId="48" xfId="5" applyFont="1" applyFill="1" applyBorder="1" applyAlignment="1" applyProtection="1">
      <alignment horizontal="center" vertical="center"/>
      <protection locked="0"/>
    </xf>
    <xf numFmtId="0" fontId="28" fillId="27" borderId="31" xfId="5" applyFont="1" applyFill="1" applyBorder="1" applyAlignment="1" applyProtection="1">
      <alignment horizontal="center" vertical="center"/>
      <protection locked="0"/>
    </xf>
    <xf numFmtId="0" fontId="28" fillId="27" borderId="0" xfId="5" applyFont="1" applyFill="1" applyAlignment="1" applyProtection="1">
      <alignment horizontal="left" vertical="center"/>
      <protection locked="0"/>
    </xf>
    <xf numFmtId="0" fontId="28" fillId="27" borderId="34" xfId="5" applyFont="1" applyFill="1" applyBorder="1" applyAlignment="1" applyProtection="1">
      <alignment horizontal="center" vertical="center"/>
      <protection locked="0"/>
    </xf>
    <xf numFmtId="0" fontId="28" fillId="11" borderId="1" xfId="5" applyFont="1" applyFill="1" applyBorder="1" applyAlignment="1" applyProtection="1">
      <alignment horizontal="left" vertical="center" wrapText="1"/>
      <protection locked="0"/>
    </xf>
    <xf numFmtId="0" fontId="28" fillId="11" borderId="2" xfId="5" quotePrefix="1" applyFont="1" applyFill="1" applyBorder="1" applyAlignment="1" applyProtection="1">
      <alignment horizontal="left" vertical="center" wrapText="1"/>
      <protection locked="0"/>
    </xf>
    <xf numFmtId="0" fontId="28" fillId="11" borderId="2" xfId="5" applyFont="1" applyFill="1" applyBorder="1" applyAlignment="1" applyProtection="1">
      <alignment horizontal="left" vertical="center" wrapText="1"/>
      <protection locked="0"/>
    </xf>
    <xf numFmtId="0" fontId="28" fillId="11" borderId="38" xfId="5" applyFont="1" applyFill="1" applyBorder="1" applyAlignment="1" applyProtection="1">
      <alignment horizontal="left" vertical="center" wrapText="1"/>
      <protection locked="0"/>
    </xf>
    <xf numFmtId="0" fontId="28" fillId="27" borderId="34" xfId="5" applyFont="1" applyFill="1" applyBorder="1" applyAlignment="1" applyProtection="1">
      <alignment horizontal="left" vertical="center" wrapText="1"/>
      <protection locked="0"/>
    </xf>
    <xf numFmtId="0" fontId="28" fillId="6" borderId="8" xfId="5" applyFont="1" applyFill="1" applyBorder="1" applyAlignment="1" applyProtection="1">
      <alignment horizontal="left" vertical="center" wrapText="1"/>
      <protection locked="0"/>
    </xf>
    <xf numFmtId="0" fontId="28" fillId="6" borderId="36" xfId="5" applyFont="1" applyFill="1" applyBorder="1" applyAlignment="1" applyProtection="1">
      <alignment horizontal="left" vertical="center" wrapText="1"/>
      <protection locked="0"/>
    </xf>
    <xf numFmtId="0" fontId="28" fillId="27" borderId="23" xfId="5" applyFont="1" applyFill="1" applyBorder="1" applyAlignment="1" applyProtection="1">
      <alignment horizontal="left" vertical="center" wrapText="1"/>
      <protection locked="0"/>
    </xf>
    <xf numFmtId="0" fontId="30" fillId="27" borderId="23" xfId="5" applyFont="1" applyFill="1" applyBorder="1" applyAlignment="1" applyProtection="1">
      <alignment horizontal="right" vertical="center" wrapText="1"/>
      <protection locked="0"/>
    </xf>
    <xf numFmtId="0" fontId="28" fillId="6" borderId="36" xfId="5" quotePrefix="1" applyFont="1" applyFill="1" applyBorder="1" applyAlignment="1" applyProtection="1">
      <alignment horizontal="left" vertical="center" wrapText="1"/>
      <protection locked="0"/>
    </xf>
    <xf numFmtId="0" fontId="28" fillId="6" borderId="23" xfId="5" quotePrefix="1" applyFont="1" applyFill="1" applyBorder="1" applyAlignment="1" applyProtection="1">
      <alignment horizontal="left" vertical="center" wrapText="1"/>
      <protection locked="0"/>
    </xf>
    <xf numFmtId="0" fontId="28" fillId="27" borderId="23" xfId="5" quotePrefix="1" applyFont="1" applyFill="1" applyBorder="1" applyAlignment="1" applyProtection="1">
      <alignment horizontal="left" vertical="center" wrapText="1"/>
      <protection locked="0"/>
    </xf>
    <xf numFmtId="166" fontId="30" fillId="29" borderId="7" xfId="5" applyNumberFormat="1" applyFont="1" applyFill="1" applyBorder="1" applyAlignment="1" applyProtection="1">
      <alignment horizontal="center" vertical="center" wrapText="1"/>
      <protection locked="0"/>
    </xf>
    <xf numFmtId="9" fontId="28" fillId="29" borderId="34" xfId="4" applyFont="1" applyFill="1" applyBorder="1" applyAlignment="1" applyProtection="1">
      <alignment horizontal="center" vertical="center" wrapText="1"/>
      <protection locked="0"/>
    </xf>
    <xf numFmtId="0" fontId="30" fillId="27" borderId="29" xfId="5" applyFont="1" applyFill="1" applyBorder="1" applyAlignment="1" applyProtection="1">
      <alignment horizontal="right" vertical="center" wrapText="1"/>
      <protection locked="0"/>
    </xf>
    <xf numFmtId="0" fontId="30" fillId="27" borderId="55" xfId="5" quotePrefix="1" applyFont="1" applyFill="1" applyBorder="1" applyAlignment="1" applyProtection="1">
      <alignment horizontal="left" vertical="center" wrapText="1"/>
      <protection locked="0"/>
    </xf>
    <xf numFmtId="0" fontId="30" fillId="27" borderId="23" xfId="5" quotePrefix="1" applyFont="1" applyFill="1" applyBorder="1" applyAlignment="1" applyProtection="1">
      <alignment horizontal="right" vertical="center" wrapText="1"/>
      <protection locked="0"/>
    </xf>
    <xf numFmtId="0" fontId="28" fillId="6" borderId="8" xfId="5" quotePrefix="1" applyFont="1" applyFill="1" applyBorder="1" applyAlignment="1" applyProtection="1">
      <alignment horizontal="left" vertical="center" wrapText="1"/>
      <protection locked="0"/>
    </xf>
    <xf numFmtId="0" fontId="28" fillId="27" borderId="0" xfId="5" applyFont="1" applyFill="1" applyAlignment="1" applyProtection="1">
      <alignment horizontal="left" vertical="center" wrapText="1"/>
      <protection locked="0"/>
    </xf>
    <xf numFmtId="166" fontId="28" fillId="28" borderId="1" xfId="5" applyNumberFormat="1" applyFont="1" applyFill="1" applyBorder="1" applyAlignment="1" applyProtection="1">
      <alignment horizontal="center" vertical="center" wrapText="1"/>
      <protection locked="0"/>
    </xf>
    <xf numFmtId="9" fontId="28" fillId="45" borderId="34" xfId="4" applyFont="1" applyFill="1" applyBorder="1" applyAlignment="1" applyProtection="1">
      <alignment horizontal="center" vertical="center" wrapText="1"/>
      <protection locked="0"/>
    </xf>
    <xf numFmtId="9" fontId="28" fillId="28" borderId="34" xfId="4" applyFont="1" applyFill="1" applyBorder="1" applyAlignment="1" applyProtection="1">
      <alignment horizontal="center" vertical="center" wrapText="1"/>
      <protection locked="0"/>
    </xf>
    <xf numFmtId="0" fontId="21" fillId="11" borderId="1" xfId="5" applyFont="1" applyFill="1" applyBorder="1" applyAlignment="1" applyProtection="1">
      <alignment horizontal="right" vertical="center" wrapText="1"/>
      <protection locked="0"/>
    </xf>
    <xf numFmtId="0" fontId="30" fillId="27" borderId="55" xfId="5" applyFont="1" applyFill="1" applyBorder="1" applyAlignment="1" applyProtection="1">
      <alignment horizontal="right" vertical="center" wrapText="1"/>
      <protection locked="0"/>
    </xf>
    <xf numFmtId="0" fontId="30" fillId="0" borderId="20" xfId="5" applyFont="1" applyBorder="1" applyAlignment="1" applyProtection="1">
      <alignment horizontal="center" vertical="center" wrapText="1"/>
      <protection locked="0"/>
    </xf>
    <xf numFmtId="0" fontId="30" fillId="0" borderId="21" xfId="5" applyFont="1" applyBorder="1" applyAlignment="1" applyProtection="1">
      <alignment horizontal="center" vertical="center" wrapText="1"/>
      <protection locked="0"/>
    </xf>
    <xf numFmtId="0" fontId="30" fillId="0" borderId="30" xfId="5" applyFont="1" applyBorder="1" applyAlignment="1" applyProtection="1">
      <alignment horizontal="center" vertical="center" wrapText="1"/>
      <protection locked="0"/>
    </xf>
    <xf numFmtId="0" fontId="30" fillId="0" borderId="17" xfId="5" applyFont="1" applyBorder="1" applyAlignment="1" applyProtection="1">
      <alignment horizontal="center" vertical="center" wrapText="1"/>
      <protection locked="0"/>
    </xf>
    <xf numFmtId="0" fontId="30" fillId="0" borderId="0" xfId="5" applyFont="1" applyAlignment="1" applyProtection="1">
      <alignment horizontal="center" vertical="center" wrapText="1"/>
      <protection locked="0"/>
    </xf>
    <xf numFmtId="0" fontId="30" fillId="0" borderId="15" xfId="5" applyFont="1" applyBorder="1" applyAlignment="1" applyProtection="1">
      <alignment horizontal="center" vertical="center" wrapText="1"/>
      <protection locked="0"/>
    </xf>
    <xf numFmtId="0" fontId="30" fillId="0" borderId="47" xfId="5" applyFont="1" applyBorder="1" applyAlignment="1" applyProtection="1">
      <alignment horizontal="center" vertical="center" wrapText="1"/>
      <protection locked="0"/>
    </xf>
    <xf numFmtId="0" fontId="30" fillId="0" borderId="31" xfId="5" applyFont="1" applyBorder="1" applyAlignment="1" applyProtection="1">
      <alignment horizontal="center" vertical="center" wrapText="1"/>
      <protection locked="0"/>
    </xf>
    <xf numFmtId="0" fontId="30" fillId="0" borderId="48" xfId="5" applyFont="1" applyBorder="1" applyAlignment="1" applyProtection="1">
      <alignment horizontal="center" vertical="center" wrapText="1"/>
      <protection locked="0"/>
    </xf>
    <xf numFmtId="166" fontId="18" fillId="0" borderId="0" xfId="5" applyNumberFormat="1" applyFont="1" applyAlignment="1" applyProtection="1">
      <alignment horizontal="center" vertical="center"/>
      <protection locked="0"/>
    </xf>
    <xf numFmtId="0" fontId="21" fillId="14" borderId="8" xfId="5" applyFont="1" applyFill="1" applyBorder="1" applyAlignment="1" applyProtection="1">
      <alignment horizontal="center" vertical="center"/>
    </xf>
    <xf numFmtId="0" fontId="21" fillId="14" borderId="8" xfId="5" applyFont="1" applyFill="1" applyBorder="1" applyAlignment="1" applyProtection="1">
      <alignment horizontal="center" vertical="center"/>
    </xf>
    <xf numFmtId="0" fontId="28" fillId="14" borderId="44" xfId="5" applyFont="1" applyFill="1" applyBorder="1" applyAlignment="1" applyProtection="1">
      <alignment horizontal="center" vertical="center" wrapText="1"/>
    </xf>
    <xf numFmtId="166" fontId="28" fillId="14" borderId="1" xfId="5" applyNumberFormat="1" applyFont="1" applyFill="1" applyBorder="1" applyAlignment="1" applyProtection="1">
      <alignment horizontal="center" vertical="center"/>
    </xf>
    <xf numFmtId="166" fontId="28" fillId="14" borderId="31" xfId="5" applyNumberFormat="1" applyFont="1" applyFill="1" applyBorder="1" applyAlignment="1" applyProtection="1">
      <alignment horizontal="center" vertical="center"/>
    </xf>
    <xf numFmtId="166" fontId="28" fillId="14" borderId="1" xfId="5" applyNumberFormat="1" applyFont="1" applyFill="1" applyBorder="1" applyAlignment="1" applyProtection="1">
      <alignment horizontal="center" vertical="center" wrapText="1"/>
    </xf>
    <xf numFmtId="166" fontId="28" fillId="14" borderId="7" xfId="5" applyNumberFormat="1" applyFont="1" applyFill="1" applyBorder="1" applyAlignment="1" applyProtection="1">
      <alignment horizontal="center" vertical="center" wrapText="1"/>
    </xf>
    <xf numFmtId="166" fontId="28" fillId="14" borderId="7" xfId="5" quotePrefix="1" applyNumberFormat="1" applyFont="1" applyFill="1" applyBorder="1" applyAlignment="1" applyProtection="1">
      <alignment horizontal="center" vertical="center" wrapText="1"/>
    </xf>
    <xf numFmtId="166" fontId="30" fillId="14" borderId="7" xfId="5" applyNumberFormat="1" applyFont="1" applyFill="1" applyBorder="1" applyAlignment="1" applyProtection="1">
      <alignment horizontal="center" vertical="center" wrapText="1"/>
    </xf>
    <xf numFmtId="0" fontId="44" fillId="16" borderId="17" xfId="0" applyFont="1" applyFill="1" applyBorder="1" applyAlignment="1" applyProtection="1">
      <alignment horizontal="center"/>
      <protection locked="0"/>
    </xf>
    <xf numFmtId="0" fontId="44" fillId="16" borderId="0" xfId="0" applyFont="1" applyFill="1" applyAlignment="1" applyProtection="1">
      <alignment horizontal="center"/>
      <protection locked="0"/>
    </xf>
    <xf numFmtId="0" fontId="43" fillId="17" borderId="0" xfId="0" applyFont="1" applyFill="1" applyProtection="1">
      <protection locked="0"/>
    </xf>
    <xf numFmtId="0" fontId="44" fillId="16" borderId="0" xfId="0" applyFont="1" applyFill="1" applyAlignment="1" applyProtection="1">
      <alignment horizontal="center"/>
      <protection locked="0"/>
    </xf>
    <xf numFmtId="0" fontId="44" fillId="16" borderId="15" xfId="0" applyFont="1" applyFill="1" applyBorder="1" applyAlignment="1" applyProtection="1">
      <alignment horizontal="center"/>
      <protection locked="0"/>
    </xf>
    <xf numFmtId="0" fontId="43" fillId="16" borderId="46" xfId="0" applyFont="1" applyFill="1" applyBorder="1" applyAlignment="1" applyProtection="1">
      <alignment horizontal="center" vertical="center"/>
      <protection locked="0"/>
    </xf>
    <xf numFmtId="0" fontId="43" fillId="16" borderId="43" xfId="0" applyFont="1" applyFill="1" applyBorder="1" applyAlignment="1" applyProtection="1">
      <alignment horizontal="center" vertical="center"/>
      <protection locked="0"/>
    </xf>
    <xf numFmtId="0" fontId="43" fillId="16" borderId="8" xfId="0" applyFont="1" applyFill="1" applyBorder="1" applyAlignment="1" applyProtection="1">
      <alignment horizontal="center" wrapText="1"/>
      <protection locked="0"/>
    </xf>
    <xf numFmtId="0" fontId="44" fillId="16" borderId="56" xfId="0" applyFont="1" applyFill="1" applyBorder="1" applyAlignment="1" applyProtection="1">
      <alignment horizontal="center"/>
      <protection locked="0"/>
    </xf>
    <xf numFmtId="0" fontId="44" fillId="16" borderId="55" xfId="0" applyFont="1" applyFill="1" applyBorder="1" applyAlignment="1" applyProtection="1">
      <alignment horizontal="center"/>
      <protection locked="0"/>
    </xf>
    <xf numFmtId="0" fontId="43" fillId="16" borderId="40" xfId="0" applyFont="1" applyFill="1" applyBorder="1" applyAlignment="1" applyProtection="1">
      <alignment horizontal="center" vertical="center"/>
      <protection locked="0"/>
    </xf>
    <xf numFmtId="0" fontId="43" fillId="16" borderId="54" xfId="0" applyFont="1" applyFill="1" applyBorder="1" applyAlignment="1" applyProtection="1">
      <alignment horizontal="center" vertical="center"/>
      <protection locked="0"/>
    </xf>
    <xf numFmtId="173" fontId="43" fillId="17" borderId="0" xfId="4" applyNumberFormat="1" applyFont="1" applyFill="1" applyProtection="1">
      <protection locked="0"/>
    </xf>
    <xf numFmtId="0" fontId="43" fillId="16" borderId="46" xfId="0" applyFont="1" applyFill="1" applyBorder="1" applyAlignment="1" applyProtection="1">
      <alignment horizontal="center" vertical="center"/>
      <protection locked="0"/>
    </xf>
    <xf numFmtId="0" fontId="43" fillId="16" borderId="43" xfId="0" applyFont="1" applyFill="1" applyBorder="1" applyAlignment="1" applyProtection="1">
      <alignment horizontal="center" vertical="center"/>
      <protection locked="0"/>
    </xf>
    <xf numFmtId="0" fontId="43" fillId="16" borderId="45" xfId="0" applyFont="1" applyFill="1" applyBorder="1" applyAlignment="1" applyProtection="1">
      <alignment horizontal="center" wrapText="1"/>
      <protection locked="0"/>
    </xf>
    <xf numFmtId="0" fontId="43" fillId="16" borderId="40" xfId="0" applyFont="1" applyFill="1" applyBorder="1" applyAlignment="1" applyProtection="1">
      <alignment horizontal="center" vertical="center"/>
      <protection locked="0"/>
    </xf>
    <xf numFmtId="0" fontId="43" fillId="16" borderId="54" xfId="0" applyFont="1" applyFill="1" applyBorder="1" applyAlignment="1" applyProtection="1">
      <alignment horizontal="center" vertical="center"/>
      <protection locked="0"/>
    </xf>
    <xf numFmtId="0" fontId="43" fillId="16" borderId="37" xfId="0" applyFont="1" applyFill="1" applyBorder="1" applyAlignment="1" applyProtection="1">
      <alignment horizontal="center" wrapText="1"/>
      <protection locked="0"/>
    </xf>
    <xf numFmtId="9" fontId="44" fillId="0" borderId="0" xfId="4" applyFont="1" applyFill="1" applyBorder="1" applyProtection="1">
      <protection locked="0"/>
    </xf>
    <xf numFmtId="0" fontId="43" fillId="16" borderId="0" xfId="0" applyFont="1" applyFill="1" applyAlignment="1" applyProtection="1">
      <alignment horizontal="center"/>
      <protection locked="0"/>
    </xf>
    <xf numFmtId="0" fontId="43" fillId="16" borderId="0" xfId="0" applyFont="1" applyFill="1" applyAlignment="1" applyProtection="1">
      <alignment horizontal="left"/>
      <protection locked="0"/>
    </xf>
    <xf numFmtId="0" fontId="43" fillId="16" borderId="0" xfId="0" applyFont="1" applyFill="1" applyAlignment="1" applyProtection="1">
      <alignment horizontal="center"/>
      <protection locked="0"/>
    </xf>
    <xf numFmtId="0" fontId="43" fillId="16" borderId="0" xfId="0" applyFont="1" applyFill="1" applyProtection="1">
      <protection locked="0"/>
    </xf>
    <xf numFmtId="0" fontId="43" fillId="14" borderId="8" xfId="0" applyFont="1" applyFill="1" applyBorder="1" applyAlignment="1" applyProtection="1">
      <alignment horizontal="center" wrapText="1"/>
    </xf>
    <xf numFmtId="0" fontId="43" fillId="14" borderId="8" xfId="0" applyFont="1" applyFill="1" applyBorder="1" applyAlignment="1" applyProtection="1">
      <alignment horizontal="center"/>
    </xf>
    <xf numFmtId="0" fontId="43" fillId="14" borderId="8" xfId="0" quotePrefix="1" applyFont="1" applyFill="1" applyBorder="1" applyAlignment="1" applyProtection="1">
      <alignment horizontal="center"/>
    </xf>
    <xf numFmtId="0" fontId="43" fillId="14" borderId="8" xfId="0" applyFont="1" applyFill="1" applyBorder="1" applyProtection="1"/>
    <xf numFmtId="0" fontId="43" fillId="14" borderId="8" xfId="0" quotePrefix="1" applyFont="1" applyFill="1" applyBorder="1" applyProtection="1"/>
    <xf numFmtId="0" fontId="43" fillId="14" borderId="8" xfId="0" applyFont="1" applyFill="1" applyBorder="1" applyAlignment="1" applyProtection="1">
      <alignment horizontal="left"/>
    </xf>
    <xf numFmtId="0" fontId="45" fillId="14" borderId="8" xfId="0" applyFont="1" applyFill="1" applyBorder="1" applyAlignment="1" applyProtection="1">
      <alignment horizontal="center" vertical="top" wrapText="1"/>
    </xf>
    <xf numFmtId="0" fontId="43" fillId="14" borderId="8" xfId="0" applyFont="1" applyFill="1" applyBorder="1" applyAlignment="1" applyProtection="1">
      <alignment horizontal="left" wrapText="1"/>
    </xf>
    <xf numFmtId="0" fontId="43" fillId="14" borderId="0" xfId="0" applyFont="1" applyFill="1" applyProtection="1"/>
    <xf numFmtId="1" fontId="43" fillId="14" borderId="8" xfId="0" applyNumberFormat="1" applyFont="1" applyFill="1" applyBorder="1" applyProtection="1"/>
    <xf numFmtId="1" fontId="43" fillId="14" borderId="0" xfId="0" applyNumberFormat="1" applyFont="1" applyFill="1" applyProtection="1"/>
    <xf numFmtId="44" fontId="43" fillId="14" borderId="0" xfId="0" applyNumberFormat="1" applyFont="1" applyFill="1" applyProtection="1"/>
    <xf numFmtId="44" fontId="44" fillId="14" borderId="8" xfId="0" applyNumberFormat="1" applyFont="1" applyFill="1" applyBorder="1" applyProtection="1"/>
    <xf numFmtId="44" fontId="43" fillId="14" borderId="8" xfId="0" applyNumberFormat="1" applyFont="1" applyFill="1" applyBorder="1" applyProtection="1"/>
    <xf numFmtId="2" fontId="43" fillId="14" borderId="8" xfId="0" applyNumberFormat="1" applyFont="1" applyFill="1" applyBorder="1" applyProtection="1"/>
    <xf numFmtId="0" fontId="47" fillId="26" borderId="0" xfId="0" applyFont="1" applyFill="1" applyAlignment="1" applyProtection="1">
      <alignment horizontal="center"/>
      <protection locked="0"/>
    </xf>
    <xf numFmtId="0" fontId="47" fillId="26" borderId="0" xfId="0" applyFont="1" applyFill="1" applyProtection="1">
      <protection locked="0"/>
    </xf>
    <xf numFmtId="0" fontId="47" fillId="26" borderId="0" xfId="11" applyFont="1" applyFill="1" applyProtection="1">
      <protection locked="0"/>
    </xf>
    <xf numFmtId="0" fontId="14" fillId="24" borderId="8" xfId="0" applyFont="1" applyFill="1" applyBorder="1" applyProtection="1">
      <protection locked="0"/>
    </xf>
    <xf numFmtId="44" fontId="0" fillId="0" borderId="0" xfId="0" applyNumberFormat="1" applyProtection="1">
      <protection locked="0"/>
    </xf>
    <xf numFmtId="0" fontId="0" fillId="25" borderId="0" xfId="0" applyFill="1" applyProtection="1">
      <protection locked="0"/>
    </xf>
    <xf numFmtId="2" fontId="0" fillId="25" borderId="0" xfId="0" applyNumberFormat="1" applyFill="1" applyProtection="1">
      <protection locked="0"/>
    </xf>
    <xf numFmtId="173" fontId="0" fillId="25" borderId="0" xfId="0" applyNumberFormat="1" applyFill="1" applyProtection="1">
      <protection locked="0"/>
    </xf>
    <xf numFmtId="0" fontId="14" fillId="14" borderId="8" xfId="0" applyFont="1" applyFill="1" applyBorder="1" applyProtection="1"/>
    <xf numFmtId="0" fontId="47" fillId="14" borderId="8" xfId="0" applyFont="1" applyFill="1" applyBorder="1" applyProtection="1"/>
    <xf numFmtId="0" fontId="0" fillId="14" borderId="8" xfId="0" applyFill="1" applyBorder="1" applyProtection="1"/>
    <xf numFmtId="181" fontId="0" fillId="14" borderId="8" xfId="0" applyNumberFormat="1" applyFill="1" applyBorder="1" applyProtection="1"/>
    <xf numFmtId="173" fontId="0" fillId="14" borderId="8" xfId="0" applyNumberFormat="1" applyFill="1" applyBorder="1" applyProtection="1"/>
    <xf numFmtId="2" fontId="0" fillId="14" borderId="8" xfId="0" applyNumberFormat="1" applyFill="1" applyBorder="1" applyProtection="1"/>
    <xf numFmtId="44" fontId="0" fillId="14" borderId="8" xfId="0" applyNumberFormat="1" applyFill="1" applyBorder="1" applyProtection="1"/>
    <xf numFmtId="0" fontId="0" fillId="6" borderId="0" xfId="0" applyFill="1" applyProtection="1">
      <protection locked="0"/>
    </xf>
    <xf numFmtId="0" fontId="46" fillId="6" borderId="0" xfId="0" applyFont="1" applyFill="1" applyAlignment="1" applyProtection="1">
      <alignment horizontal="center" vertical="center"/>
      <protection locked="0"/>
    </xf>
    <xf numFmtId="0" fontId="46" fillId="6" borderId="96" xfId="0" applyFont="1" applyFill="1" applyBorder="1" applyAlignment="1" applyProtection="1">
      <alignment horizontal="center" vertical="center"/>
      <protection locked="0"/>
    </xf>
    <xf numFmtId="0" fontId="44" fillId="17" borderId="0" xfId="0" applyFont="1" applyFill="1" applyAlignment="1" applyProtection="1">
      <alignment horizontal="left"/>
      <protection locked="0"/>
    </xf>
    <xf numFmtId="0" fontId="43" fillId="17" borderId="0" xfId="0" applyFont="1" applyFill="1" applyAlignment="1" applyProtection="1">
      <alignment horizontal="left"/>
      <protection locked="0"/>
    </xf>
    <xf numFmtId="0" fontId="44" fillId="17" borderId="0" xfId="0" applyFont="1" applyFill="1" applyAlignment="1" applyProtection="1">
      <alignment horizontal="center"/>
      <protection locked="0"/>
    </xf>
    <xf numFmtId="0" fontId="44" fillId="17" borderId="49" xfId="0" applyFont="1" applyFill="1" applyBorder="1" applyProtection="1">
      <protection locked="0"/>
    </xf>
    <xf numFmtId="0" fontId="0" fillId="6" borderId="20" xfId="0" applyFill="1" applyBorder="1" applyProtection="1">
      <protection locked="0"/>
    </xf>
    <xf numFmtId="0" fontId="46" fillId="6" borderId="21" xfId="0" applyFont="1" applyFill="1" applyBorder="1" applyAlignment="1" applyProtection="1">
      <alignment horizontal="center" vertical="center"/>
      <protection locked="0"/>
    </xf>
    <xf numFmtId="0" fontId="46" fillId="6" borderId="30" xfId="0" applyFont="1" applyFill="1" applyBorder="1" applyAlignment="1" applyProtection="1">
      <alignment horizontal="center" vertical="center"/>
      <protection locked="0"/>
    </xf>
    <xf numFmtId="0" fontId="54" fillId="22" borderId="0" xfId="0" applyFont="1" applyFill="1" applyAlignment="1" applyProtection="1">
      <alignment horizontal="center" wrapText="1"/>
      <protection locked="0"/>
    </xf>
    <xf numFmtId="183" fontId="54" fillId="22" borderId="0" xfId="0" applyNumberFormat="1" applyFont="1" applyFill="1" applyAlignment="1" applyProtection="1">
      <alignment horizontal="center" wrapText="1"/>
      <protection locked="0"/>
    </xf>
    <xf numFmtId="183" fontId="0" fillId="0" borderId="0" xfId="0" applyNumberFormat="1" applyProtection="1">
      <protection locked="0"/>
    </xf>
    <xf numFmtId="184" fontId="14" fillId="0" borderId="0" xfId="0" applyNumberFormat="1" applyFont="1" applyProtection="1">
      <protection locked="0"/>
    </xf>
    <xf numFmtId="0" fontId="81" fillId="0" borderId="0" xfId="0" applyFont="1" applyProtection="1">
      <protection locked="0"/>
    </xf>
    <xf numFmtId="0" fontId="14" fillId="24" borderId="55" xfId="0" applyFont="1" applyFill="1" applyBorder="1" applyAlignment="1" applyProtection="1">
      <alignment horizontal="center"/>
      <protection locked="0"/>
    </xf>
    <xf numFmtId="0" fontId="54" fillId="24" borderId="55" xfId="0" applyFont="1" applyFill="1" applyBorder="1" applyAlignment="1" applyProtection="1">
      <alignment horizontal="center"/>
      <protection locked="0"/>
    </xf>
    <xf numFmtId="0" fontId="54" fillId="43" borderId="55" xfId="0" applyFont="1" applyFill="1" applyBorder="1" applyAlignment="1" applyProtection="1">
      <alignment horizontal="center"/>
      <protection locked="0"/>
    </xf>
    <xf numFmtId="0" fontId="54" fillId="44" borderId="55" xfId="0" applyFont="1" applyFill="1" applyBorder="1" applyAlignment="1" applyProtection="1">
      <alignment horizontal="center"/>
      <protection locked="0"/>
    </xf>
    <xf numFmtId="1" fontId="0" fillId="0" borderId="0" xfId="0" applyNumberFormat="1" applyAlignment="1" applyProtection="1">
      <alignment horizontal="center"/>
      <protection locked="0"/>
    </xf>
    <xf numFmtId="0" fontId="82" fillId="0" borderId="0" xfId="0" applyFont="1" applyProtection="1">
      <protection locked="0"/>
    </xf>
    <xf numFmtId="189" fontId="82" fillId="0" borderId="0" xfId="0" applyNumberFormat="1" applyFont="1" applyAlignment="1" applyProtection="1">
      <alignment horizontal="center"/>
      <protection locked="0"/>
    </xf>
    <xf numFmtId="189" fontId="54" fillId="0" borderId="0" xfId="0" applyNumberFormat="1" applyFont="1" applyAlignment="1" applyProtection="1">
      <alignment horizontal="center"/>
      <protection locked="0"/>
    </xf>
    <xf numFmtId="185" fontId="82" fillId="0" borderId="0" xfId="0" applyNumberFormat="1" applyFont="1" applyAlignment="1" applyProtection="1">
      <alignment horizontal="center"/>
      <protection locked="0"/>
    </xf>
    <xf numFmtId="1" fontId="82" fillId="0" borderId="0" xfId="0" applyNumberFormat="1" applyFont="1" applyAlignment="1" applyProtection="1">
      <alignment horizontal="center"/>
      <protection locked="0"/>
    </xf>
    <xf numFmtId="190" fontId="82" fillId="0" borderId="0" xfId="0" applyNumberFormat="1" applyFont="1" applyAlignment="1" applyProtection="1">
      <alignment horizontal="center"/>
      <protection locked="0"/>
    </xf>
    <xf numFmtId="183" fontId="82" fillId="0" borderId="0" xfId="0" applyNumberFormat="1" applyFont="1" applyAlignment="1" applyProtection="1">
      <alignment horizontal="center"/>
      <protection locked="0"/>
    </xf>
    <xf numFmtId="173" fontId="82" fillId="0" borderId="0" xfId="0" applyNumberFormat="1" applyFont="1" applyAlignment="1" applyProtection="1">
      <alignment horizontal="center"/>
      <protection locked="0"/>
    </xf>
    <xf numFmtId="0" fontId="82" fillId="0" borderId="0" xfId="0" applyFont="1" applyAlignment="1" applyProtection="1">
      <alignment horizontal="center"/>
      <protection locked="0"/>
    </xf>
    <xf numFmtId="1" fontId="0" fillId="0" borderId="55" xfId="0" applyNumberFormat="1" applyBorder="1" applyAlignment="1" applyProtection="1">
      <alignment horizontal="center"/>
      <protection locked="0"/>
    </xf>
    <xf numFmtId="0" fontId="82" fillId="0" borderId="55" xfId="0" applyFont="1" applyBorder="1" applyProtection="1">
      <protection locked="0"/>
    </xf>
    <xf numFmtId="189" fontId="54" fillId="0" borderId="55" xfId="0" applyNumberFormat="1" applyFont="1" applyBorder="1" applyAlignment="1" applyProtection="1">
      <alignment horizontal="center"/>
      <protection locked="0"/>
    </xf>
    <xf numFmtId="185" fontId="82" fillId="0" borderId="55" xfId="0" applyNumberFormat="1" applyFont="1" applyBorder="1" applyAlignment="1" applyProtection="1">
      <alignment horizontal="center"/>
      <protection locked="0"/>
    </xf>
    <xf numFmtId="1" fontId="82" fillId="0" borderId="55" xfId="0" applyNumberFormat="1" applyFont="1" applyBorder="1" applyAlignment="1" applyProtection="1">
      <alignment horizontal="center"/>
      <protection locked="0"/>
    </xf>
    <xf numFmtId="190" fontId="82" fillId="0" borderId="55" xfId="0" applyNumberFormat="1" applyFont="1" applyBorder="1" applyAlignment="1" applyProtection="1">
      <alignment horizontal="center"/>
      <protection locked="0"/>
    </xf>
    <xf numFmtId="183" fontId="82" fillId="0" borderId="55" xfId="0" applyNumberFormat="1" applyFont="1" applyBorder="1" applyAlignment="1" applyProtection="1">
      <alignment horizontal="center"/>
      <protection locked="0"/>
    </xf>
    <xf numFmtId="173" fontId="82" fillId="0" borderId="55" xfId="0" applyNumberFormat="1" applyFont="1" applyBorder="1" applyAlignment="1" applyProtection="1">
      <alignment horizontal="center"/>
      <protection locked="0"/>
    </xf>
    <xf numFmtId="0" fontId="82" fillId="0" borderId="55" xfId="0" applyFont="1" applyBorder="1" applyAlignment="1" applyProtection="1">
      <alignment horizontal="center"/>
      <protection locked="0"/>
    </xf>
    <xf numFmtId="190" fontId="54" fillId="0" borderId="0" xfId="0" applyNumberFormat="1" applyFont="1" applyAlignment="1" applyProtection="1">
      <alignment horizontal="center"/>
      <protection locked="0"/>
    </xf>
    <xf numFmtId="0" fontId="43" fillId="14" borderId="0" xfId="0" applyFont="1" applyFill="1" applyAlignment="1" applyProtection="1">
      <alignment horizontal="center" wrapText="1"/>
    </xf>
    <xf numFmtId="0" fontId="43" fillId="14" borderId="0" xfId="0" quotePrefix="1" applyFont="1" applyFill="1" applyAlignment="1" applyProtection="1">
      <alignment horizontal="center" wrapText="1"/>
    </xf>
    <xf numFmtId="0" fontId="43" fillId="14" borderId="0" xfId="0" applyFont="1" applyFill="1" applyAlignment="1" applyProtection="1">
      <alignment wrapText="1"/>
    </xf>
    <xf numFmtId="0" fontId="43" fillId="14" borderId="0" xfId="0" quotePrefix="1" applyFont="1" applyFill="1" applyAlignment="1" applyProtection="1">
      <alignment wrapText="1"/>
    </xf>
    <xf numFmtId="0" fontId="43" fillId="14" borderId="0" xfId="0" applyFont="1" applyFill="1" applyAlignment="1" applyProtection="1">
      <alignment horizontal="left"/>
    </xf>
    <xf numFmtId="0" fontId="43" fillId="14" borderId="0" xfId="0" applyFont="1" applyFill="1" applyAlignment="1" applyProtection="1">
      <alignment horizontal="left" wrapText="1"/>
    </xf>
    <xf numFmtId="1" fontId="43" fillId="14" borderId="0" xfId="0" applyNumberFormat="1" applyFont="1" applyFill="1" applyAlignment="1" applyProtection="1">
      <alignment horizontal="left" wrapText="1"/>
    </xf>
    <xf numFmtId="1" fontId="43" fillId="14" borderId="19" xfId="0" applyNumberFormat="1" applyFont="1" applyFill="1" applyBorder="1" applyAlignment="1" applyProtection="1">
      <alignment horizontal="left" wrapText="1"/>
    </xf>
    <xf numFmtId="2" fontId="43" fillId="14" borderId="19" xfId="0" applyNumberFormat="1" applyFont="1" applyFill="1" applyBorder="1" applyAlignment="1" applyProtection="1">
      <alignment horizontal="left" wrapText="1"/>
    </xf>
    <xf numFmtId="2" fontId="43" fillId="14" borderId="50" xfId="0" applyNumberFormat="1" applyFont="1" applyFill="1" applyBorder="1" applyAlignment="1" applyProtection="1">
      <alignment horizontal="left" wrapText="1"/>
    </xf>
    <xf numFmtId="0" fontId="14" fillId="14" borderId="37" xfId="0" applyFont="1" applyFill="1" applyBorder="1" applyAlignment="1" applyProtection="1">
      <alignment horizontal="left"/>
    </xf>
    <xf numFmtId="1" fontId="13" fillId="18" borderId="8" xfId="0" applyNumberFormat="1" applyFont="1" applyFill="1" applyBorder="1" applyAlignment="1" applyProtection="1">
      <alignment horizontal="left" vertical="center" wrapText="1"/>
    </xf>
    <xf numFmtId="2" fontId="14" fillId="14" borderId="0" xfId="0" applyNumberFormat="1" applyFont="1" applyFill="1" applyProtection="1"/>
    <xf numFmtId="2" fontId="0" fillId="14" borderId="0" xfId="0" applyNumberFormat="1" applyFill="1" applyProtection="1"/>
    <xf numFmtId="165" fontId="0" fillId="14" borderId="0" xfId="0" applyNumberFormat="1" applyFill="1" applyProtection="1"/>
    <xf numFmtId="9" fontId="50" fillId="14" borderId="92" xfId="0" applyNumberFormat="1" applyFont="1" applyFill="1" applyBorder="1" applyAlignment="1" applyProtection="1">
      <alignment horizontal="center"/>
    </xf>
    <xf numFmtId="0" fontId="14" fillId="17" borderId="17" xfId="0" applyFont="1" applyFill="1" applyBorder="1" applyAlignment="1" applyProtection="1">
      <alignment horizontal="center"/>
      <protection locked="0"/>
    </xf>
    <xf numFmtId="0" fontId="14" fillId="17" borderId="0" xfId="0" applyFont="1" applyFill="1" applyAlignment="1" applyProtection="1">
      <alignment horizontal="center"/>
      <protection locked="0"/>
    </xf>
    <xf numFmtId="0" fontId="92" fillId="10" borderId="93" xfId="0" applyFont="1" applyFill="1" applyBorder="1" applyProtection="1">
      <protection locked="0"/>
    </xf>
    <xf numFmtId="0" fontId="14" fillId="0" borderId="49" xfId="0" applyFont="1" applyBorder="1" applyAlignment="1" applyProtection="1">
      <alignment horizontal="center" wrapText="1"/>
      <protection locked="0"/>
    </xf>
    <xf numFmtId="0" fontId="14" fillId="0" borderId="50" xfId="0" applyFont="1" applyBorder="1" applyAlignment="1" applyProtection="1">
      <alignment horizontal="center" wrapText="1"/>
      <protection locked="0"/>
    </xf>
    <xf numFmtId="0" fontId="0" fillId="0" borderId="20"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9" fontId="81" fillId="16" borderId="44" xfId="4" applyFont="1" applyFill="1" applyBorder="1" applyProtection="1">
      <protection locked="0"/>
    </xf>
    <xf numFmtId="0" fontId="80" fillId="0" borderId="17" xfId="0" applyFont="1" applyBorder="1" applyAlignment="1" applyProtection="1">
      <alignment horizontal="center" wrapText="1"/>
      <protection locked="0"/>
    </xf>
    <xf numFmtId="0" fontId="80" fillId="0" borderId="15" xfId="0" applyFont="1" applyBorder="1" applyAlignment="1" applyProtection="1">
      <alignment horizontal="center" wrapText="1"/>
      <protection locked="0"/>
    </xf>
    <xf numFmtId="0" fontId="80" fillId="0" borderId="47" xfId="0" applyFont="1" applyBorder="1" applyAlignment="1" applyProtection="1">
      <alignment horizontal="center" wrapText="1"/>
      <protection locked="0"/>
    </xf>
    <xf numFmtId="0" fontId="80" fillId="0" borderId="48" xfId="0" applyFont="1" applyBorder="1" applyAlignment="1" applyProtection="1">
      <alignment horizontal="center" wrapText="1"/>
      <protection locked="0"/>
    </xf>
    <xf numFmtId="0" fontId="0" fillId="14" borderId="37" xfId="0" applyFill="1" applyBorder="1" applyProtection="1"/>
    <xf numFmtId="0" fontId="14" fillId="14" borderId="15" xfId="0" applyFont="1" applyFill="1" applyBorder="1" applyProtection="1"/>
    <xf numFmtId="0" fontId="14" fillId="14" borderId="47" xfId="0" applyFont="1" applyFill="1" applyBorder="1" applyProtection="1"/>
    <xf numFmtId="0" fontId="14" fillId="14" borderId="48" xfId="0" applyFont="1" applyFill="1" applyBorder="1" applyProtection="1"/>
    <xf numFmtId="2" fontId="0" fillId="14" borderId="49" xfId="0" applyNumberFormat="1" applyFill="1" applyBorder="1" applyProtection="1"/>
    <xf numFmtId="2" fontId="0" fillId="14" borderId="19" xfId="0" applyNumberFormat="1" applyFill="1" applyBorder="1" applyProtection="1"/>
    <xf numFmtId="0" fontId="0" fillId="14" borderId="33" xfId="0" applyFill="1" applyBorder="1" applyProtection="1"/>
    <xf numFmtId="165" fontId="0" fillId="14" borderId="2" xfId="0" applyNumberFormat="1" applyFill="1" applyBorder="1" applyProtection="1"/>
    <xf numFmtId="165" fontId="0" fillId="14" borderId="38" xfId="0" applyNumberFormat="1" applyFill="1" applyBorder="1" applyProtection="1"/>
    <xf numFmtId="183" fontId="0" fillId="14" borderId="0" xfId="0" applyNumberFormat="1" applyFill="1" applyProtection="1"/>
    <xf numFmtId="183" fontId="0" fillId="14" borderId="19" xfId="0" applyNumberFormat="1" applyFill="1" applyBorder="1" applyProtection="1"/>
    <xf numFmtId="183" fontId="0" fillId="14" borderId="50" xfId="0" applyNumberFormat="1" applyFill="1" applyBorder="1" applyProtection="1"/>
    <xf numFmtId="9" fontId="0" fillId="14" borderId="34" xfId="0" applyNumberFormat="1" applyFill="1" applyBorder="1" applyProtection="1"/>
    <xf numFmtId="10" fontId="0" fillId="14" borderId="5" xfId="4" applyNumberFormat="1" applyFont="1" applyFill="1" applyBorder="1" applyProtection="1"/>
    <xf numFmtId="10" fontId="0" fillId="14" borderId="14" xfId="4" applyNumberFormat="1" applyFont="1" applyFill="1" applyBorder="1" applyProtection="1"/>
    <xf numFmtId="9" fontId="81" fillId="14" borderId="49" xfId="4" applyFont="1" applyFill="1" applyBorder="1" applyProtection="1"/>
    <xf numFmtId="10" fontId="0" fillId="14" borderId="8" xfId="4" applyNumberFormat="1" applyFont="1" applyFill="1" applyBorder="1" applyProtection="1"/>
    <xf numFmtId="10" fontId="0" fillId="14" borderId="36" xfId="4" applyNumberFormat="1" applyFont="1" applyFill="1" applyBorder="1" applyProtection="1"/>
    <xf numFmtId="9" fontId="81" fillId="14" borderId="19" xfId="4" applyFont="1" applyFill="1" applyBorder="1" applyProtection="1"/>
    <xf numFmtId="9" fontId="0" fillId="14" borderId="8" xfId="4" applyFont="1" applyFill="1" applyBorder="1" applyProtection="1"/>
    <xf numFmtId="9" fontId="0" fillId="14" borderId="36" xfId="4" applyFont="1" applyFill="1" applyBorder="1" applyProtection="1"/>
    <xf numFmtId="9" fontId="0" fillId="14" borderId="11" xfId="4" applyFont="1" applyFill="1" applyBorder="1" applyProtection="1"/>
    <xf numFmtId="9" fontId="0" fillId="14" borderId="53" xfId="4" applyFont="1" applyFill="1" applyBorder="1" applyProtection="1"/>
    <xf numFmtId="0" fontId="21" fillId="6" borderId="44" xfId="5" applyFont="1" applyFill="1" applyBorder="1" applyAlignment="1" applyProtection="1">
      <alignment horizontal="center" vertical="center"/>
      <protection locked="0"/>
    </xf>
    <xf numFmtId="0" fontId="28" fillId="6" borderId="47" xfId="7" applyFont="1" applyFill="1" applyBorder="1" applyAlignment="1" applyProtection="1">
      <alignment horizontal="left" vertical="center"/>
      <protection locked="0"/>
    </xf>
    <xf numFmtId="0" fontId="33" fillId="16" borderId="13" xfId="5" applyFont="1" applyFill="1" applyBorder="1" applyAlignment="1" applyProtection="1">
      <alignment horizontal="right" vertical="center"/>
      <protection locked="0"/>
    </xf>
    <xf numFmtId="9" fontId="18" fillId="0" borderId="0" xfId="2" applyFont="1" applyAlignment="1" applyProtection="1">
      <alignment vertical="center"/>
      <protection locked="0"/>
    </xf>
    <xf numFmtId="0" fontId="28" fillId="6" borderId="33" xfId="7" applyFont="1" applyFill="1" applyBorder="1" applyAlignment="1" applyProtection="1">
      <alignment horizontal="left" vertical="center"/>
      <protection locked="0"/>
    </xf>
    <xf numFmtId="0" fontId="28" fillId="6" borderId="0" xfId="7" applyFont="1" applyFill="1" applyAlignment="1" applyProtection="1">
      <alignment horizontal="left" vertical="center"/>
      <protection locked="0"/>
    </xf>
    <xf numFmtId="178" fontId="30" fillId="15" borderId="33" xfId="3" applyNumberFormat="1" applyFont="1" applyFill="1" applyBorder="1" applyAlignment="1" applyProtection="1">
      <alignment horizontal="center" vertical="center" wrapText="1"/>
      <protection locked="0"/>
    </xf>
    <xf numFmtId="0" fontId="28" fillId="6" borderId="20" xfId="7" applyFont="1" applyFill="1" applyBorder="1" applyAlignment="1" applyProtection="1">
      <alignment horizontal="left" vertical="center"/>
      <protection locked="0"/>
    </xf>
    <xf numFmtId="0" fontId="30" fillId="6" borderId="13" xfId="7" applyFont="1" applyFill="1" applyBorder="1" applyAlignment="1" applyProtection="1">
      <alignment horizontal="left" vertical="center"/>
      <protection locked="0"/>
    </xf>
    <xf numFmtId="0" fontId="30" fillId="6" borderId="26" xfId="7" applyFont="1" applyFill="1" applyBorder="1" applyAlignment="1" applyProtection="1">
      <alignment horizontal="left" vertical="center"/>
      <protection locked="0"/>
    </xf>
    <xf numFmtId="0" fontId="28" fillId="11" borderId="33" xfId="5" applyFont="1" applyFill="1" applyBorder="1" applyAlignment="1" applyProtection="1">
      <alignment vertical="center"/>
      <protection locked="0"/>
    </xf>
    <xf numFmtId="0" fontId="28" fillId="11" borderId="34" xfId="5" applyFont="1" applyFill="1" applyBorder="1" applyAlignment="1" applyProtection="1">
      <alignment vertical="center"/>
      <protection locked="0"/>
    </xf>
    <xf numFmtId="175" fontId="30" fillId="11" borderId="34" xfId="7" applyNumberFormat="1" applyFont="1" applyFill="1" applyBorder="1" applyAlignment="1" applyProtection="1">
      <alignment horizontal="center" vertical="center" wrapText="1"/>
      <protection locked="0"/>
    </xf>
    <xf numFmtId="175" fontId="30" fillId="11" borderId="35" xfId="7" applyNumberFormat="1" applyFont="1" applyFill="1" applyBorder="1" applyAlignment="1" applyProtection="1">
      <alignment horizontal="center" vertical="center" wrapText="1"/>
      <protection locked="0"/>
    </xf>
    <xf numFmtId="0" fontId="28" fillId="6" borderId="13" xfId="7" applyFont="1" applyFill="1" applyBorder="1" applyAlignment="1" applyProtection="1">
      <alignment horizontal="left" vertical="center"/>
      <protection locked="0"/>
    </xf>
    <xf numFmtId="175" fontId="28" fillId="6" borderId="4" xfId="7" applyNumberFormat="1" applyFont="1" applyFill="1" applyBorder="1" applyAlignment="1" applyProtection="1">
      <alignment horizontal="center" vertical="center" wrapText="1"/>
      <protection locked="0"/>
    </xf>
    <xf numFmtId="175" fontId="28" fillId="6" borderId="5" xfId="7" applyNumberFormat="1" applyFont="1" applyFill="1" applyBorder="1" applyAlignment="1" applyProtection="1">
      <alignment horizontal="center" vertical="center" wrapText="1"/>
      <protection locked="0"/>
    </xf>
    <xf numFmtId="175" fontId="28" fillId="6" borderId="6" xfId="7" applyNumberFormat="1" applyFont="1" applyFill="1" applyBorder="1" applyAlignment="1" applyProtection="1">
      <alignment horizontal="center" vertical="center" wrapText="1"/>
      <protection locked="0"/>
    </xf>
    <xf numFmtId="175" fontId="35" fillId="14" borderId="44" xfId="7" applyNumberFormat="1" applyFont="1" applyFill="1" applyBorder="1" applyAlignment="1" applyProtection="1">
      <alignment horizontal="center" vertical="center"/>
    </xf>
    <xf numFmtId="44" fontId="30" fillId="14" borderId="13" xfId="7" applyNumberFormat="1" applyFont="1" applyFill="1" applyBorder="1" applyAlignment="1" applyProtection="1">
      <alignment horizontal="right" vertical="center"/>
    </xf>
    <xf numFmtId="175" fontId="30" fillId="14" borderId="4" xfId="7" applyNumberFormat="1" applyFont="1" applyFill="1" applyBorder="1" applyAlignment="1" applyProtection="1">
      <alignment horizontal="center" vertical="center" wrapText="1"/>
    </xf>
    <xf numFmtId="175" fontId="30" fillId="14" borderId="5" xfId="7" applyNumberFormat="1" applyFont="1" applyFill="1" applyBorder="1" applyAlignment="1" applyProtection="1">
      <alignment horizontal="center" vertical="center" wrapText="1"/>
    </xf>
    <xf numFmtId="175" fontId="30" fillId="14" borderId="6" xfId="7" applyNumberFormat="1" applyFont="1" applyFill="1" applyBorder="1" applyAlignment="1" applyProtection="1">
      <alignment horizontal="center" vertical="center" wrapText="1"/>
    </xf>
    <xf numFmtId="175" fontId="28" fillId="14" borderId="63" xfId="7" applyNumberFormat="1" applyFont="1" applyFill="1" applyBorder="1" applyAlignment="1" applyProtection="1">
      <alignment horizontal="center" vertical="center" wrapText="1"/>
    </xf>
    <xf numFmtId="3" fontId="28" fillId="14" borderId="61" xfId="7" applyNumberFormat="1" applyFont="1" applyFill="1" applyBorder="1" applyAlignment="1" applyProtection="1">
      <alignment horizontal="center" vertical="center" wrapText="1"/>
    </xf>
    <xf numFmtId="175" fontId="30" fillId="14" borderId="10" xfId="7" applyNumberFormat="1" applyFont="1" applyFill="1" applyBorder="1" applyAlignment="1" applyProtection="1">
      <alignment horizontal="center" vertical="center" wrapText="1"/>
    </xf>
    <xf numFmtId="175" fontId="30" fillId="14" borderId="11" xfId="7" applyNumberFormat="1" applyFont="1" applyFill="1" applyBorder="1" applyAlignment="1" applyProtection="1">
      <alignment horizontal="center" vertical="center" wrapText="1"/>
    </xf>
    <xf numFmtId="175" fontId="30" fillId="14" borderId="12" xfId="7" applyNumberFormat="1" applyFont="1" applyFill="1" applyBorder="1" applyAlignment="1" applyProtection="1">
      <alignment horizontal="center" vertical="center" wrapText="1"/>
    </xf>
    <xf numFmtId="175" fontId="28" fillId="14" borderId="4" xfId="7" applyNumberFormat="1" applyFont="1" applyFill="1" applyBorder="1" applyAlignment="1" applyProtection="1">
      <alignment horizontal="center" vertical="center" wrapText="1"/>
    </xf>
    <xf numFmtId="175" fontId="28" fillId="14" borderId="20" xfId="5" applyNumberFormat="1" applyFont="1" applyFill="1" applyBorder="1" applyAlignment="1" applyProtection="1">
      <alignment horizontal="center" vertical="center" wrapText="1"/>
    </xf>
    <xf numFmtId="9" fontId="28" fillId="14" borderId="20" xfId="4" applyFont="1" applyFill="1" applyBorder="1" applyAlignment="1" applyProtection="1">
      <alignment horizontal="center" vertical="center" wrapText="1"/>
    </xf>
    <xf numFmtId="175" fontId="28" fillId="14" borderId="7" xfId="7" applyNumberFormat="1" applyFont="1" applyFill="1" applyBorder="1" applyAlignment="1" applyProtection="1">
      <alignment horizontal="center" vertical="center" wrapText="1"/>
    </xf>
    <xf numFmtId="175" fontId="28" fillId="14" borderId="1" xfId="7" applyNumberFormat="1" applyFont="1" applyFill="1" applyBorder="1" applyAlignment="1" applyProtection="1">
      <alignment horizontal="center" vertical="center" wrapText="1"/>
    </xf>
    <xf numFmtId="175" fontId="28" fillId="14" borderId="2" xfId="7" applyNumberFormat="1" applyFont="1" applyFill="1" applyBorder="1" applyAlignment="1" applyProtection="1">
      <alignment horizontal="center" vertical="center" wrapText="1"/>
    </xf>
    <xf numFmtId="175" fontId="28" fillId="14" borderId="3" xfId="7" applyNumberFormat="1" applyFont="1" applyFill="1" applyBorder="1" applyAlignment="1" applyProtection="1">
      <alignment horizontal="center" vertical="center" wrapText="1"/>
    </xf>
    <xf numFmtId="49" fontId="34" fillId="19" borderId="33" xfId="5" applyNumberFormat="1" applyFont="1" applyFill="1" applyBorder="1" applyAlignment="1" applyProtection="1">
      <alignment horizontal="center" vertical="center" wrapText="1"/>
      <protection locked="0"/>
    </xf>
    <xf numFmtId="49" fontId="34" fillId="19" borderId="34" xfId="5" applyNumberFormat="1" applyFont="1" applyFill="1" applyBorder="1" applyAlignment="1" applyProtection="1">
      <alignment horizontal="center" vertical="center" wrapText="1"/>
      <protection locked="0"/>
    </xf>
    <xf numFmtId="49" fontId="34" fillId="19" borderId="35" xfId="5" applyNumberFormat="1" applyFont="1" applyFill="1" applyBorder="1" applyAlignment="1" applyProtection="1">
      <alignment horizontal="center" vertical="center" wrapText="1"/>
      <protection locked="0"/>
    </xf>
    <xf numFmtId="49" fontId="34" fillId="19" borderId="0" xfId="5" applyNumberFormat="1" applyFont="1" applyFill="1" applyAlignment="1" applyProtection="1">
      <alignment horizontal="center" vertical="center" wrapText="1"/>
      <protection locked="0"/>
    </xf>
    <xf numFmtId="0" fontId="23" fillId="21" borderId="44" xfId="5" applyFont="1" applyFill="1" applyBorder="1" applyAlignment="1" applyProtection="1">
      <alignment vertical="center"/>
      <protection locked="0"/>
    </xf>
    <xf numFmtId="3" fontId="34" fillId="19" borderId="33" xfId="5" applyNumberFormat="1" applyFont="1" applyFill="1" applyBorder="1" applyAlignment="1" applyProtection="1">
      <alignment horizontal="center" vertical="center"/>
      <protection locked="0"/>
    </xf>
    <xf numFmtId="3" fontId="34" fillId="19" borderId="34" xfId="5" applyNumberFormat="1" applyFont="1" applyFill="1" applyBorder="1" applyAlignment="1" applyProtection="1">
      <alignment horizontal="center" vertical="center"/>
      <protection locked="0"/>
    </xf>
    <xf numFmtId="3" fontId="34" fillId="19" borderId="35" xfId="5" applyNumberFormat="1" applyFont="1" applyFill="1" applyBorder="1" applyAlignment="1" applyProtection="1">
      <alignment horizontal="center" vertical="center"/>
      <protection locked="0"/>
    </xf>
    <xf numFmtId="0" fontId="34" fillId="20" borderId="44" xfId="5" applyFont="1" applyFill="1" applyBorder="1" applyAlignment="1" applyProtection="1">
      <alignment vertical="center"/>
      <protection locked="0"/>
    </xf>
    <xf numFmtId="0" fontId="23" fillId="21" borderId="33" xfId="5" applyFont="1" applyFill="1" applyBorder="1" applyAlignment="1" applyProtection="1">
      <alignment vertical="center"/>
      <protection locked="0"/>
    </xf>
    <xf numFmtId="0" fontId="21" fillId="21" borderId="44" xfId="5" applyFont="1" applyFill="1" applyBorder="1" applyAlignment="1" applyProtection="1">
      <alignment vertical="center"/>
      <protection locked="0"/>
    </xf>
    <xf numFmtId="0" fontId="21" fillId="21" borderId="33" xfId="5" applyFont="1" applyFill="1" applyBorder="1" applyAlignment="1" applyProtection="1">
      <alignment horizontal="center" vertical="center"/>
      <protection locked="0"/>
    </xf>
    <xf numFmtId="0" fontId="21" fillId="21" borderId="35" xfId="5" applyFont="1" applyFill="1" applyBorder="1" applyAlignment="1" applyProtection="1">
      <alignment horizontal="center" vertical="center"/>
      <protection locked="0"/>
    </xf>
    <xf numFmtId="0" fontId="21" fillId="21" borderId="44" xfId="5" applyFont="1" applyFill="1" applyBorder="1" applyAlignment="1" applyProtection="1">
      <alignment horizontal="center" vertical="center"/>
      <protection locked="0"/>
    </xf>
    <xf numFmtId="9" fontId="18" fillId="5" borderId="4" xfId="2" applyFont="1" applyFill="1" applyBorder="1" applyAlignment="1" applyProtection="1">
      <alignment vertical="center"/>
      <protection locked="0"/>
    </xf>
    <xf numFmtId="171" fontId="18" fillId="5" borderId="41" xfId="5" applyNumberFormat="1" applyFont="1" applyFill="1" applyBorder="1" applyAlignment="1" applyProtection="1">
      <alignment vertical="center"/>
      <protection locked="0"/>
    </xf>
    <xf numFmtId="0" fontId="90" fillId="19" borderId="0" xfId="0" applyFont="1" applyFill="1" applyAlignment="1" applyProtection="1">
      <alignment horizontal="center"/>
      <protection locked="0"/>
    </xf>
    <xf numFmtId="173" fontId="18" fillId="5" borderId="7" xfId="2" applyNumberFormat="1" applyFont="1" applyFill="1" applyBorder="1" applyAlignment="1" applyProtection="1">
      <alignment vertical="center"/>
      <protection locked="0"/>
    </xf>
    <xf numFmtId="171" fontId="18" fillId="5" borderId="9" xfId="5" applyNumberFormat="1" applyFont="1" applyFill="1" applyBorder="1" applyAlignment="1" applyProtection="1">
      <alignment vertical="center"/>
      <protection locked="0"/>
    </xf>
    <xf numFmtId="171" fontId="18" fillId="4" borderId="60" xfId="5" applyNumberFormat="1" applyFont="1" applyFill="1" applyBorder="1" applyAlignment="1" applyProtection="1">
      <alignment horizontal="left" vertical="center"/>
      <protection locked="0"/>
    </xf>
    <xf numFmtId="0" fontId="91" fillId="0" borderId="0" xfId="0" applyFont="1" applyFill="1" applyAlignment="1" applyProtection="1">
      <alignment horizontal="left"/>
      <protection locked="0"/>
    </xf>
    <xf numFmtId="0" fontId="0" fillId="0" borderId="0" xfId="0" applyAlignment="1" applyProtection="1">
      <alignment horizontal="center"/>
      <protection locked="0"/>
    </xf>
    <xf numFmtId="10" fontId="18" fillId="5" borderId="7" xfId="2" applyNumberFormat="1" applyFont="1" applyFill="1" applyBorder="1" applyAlignment="1" applyProtection="1">
      <alignment vertical="center"/>
      <protection locked="0"/>
    </xf>
    <xf numFmtId="9" fontId="18" fillId="5" borderId="10" xfId="2" applyFont="1" applyFill="1" applyBorder="1" applyAlignment="1" applyProtection="1">
      <alignment vertical="center"/>
      <protection locked="0"/>
    </xf>
    <xf numFmtId="171" fontId="18" fillId="4" borderId="12" xfId="5" applyNumberFormat="1" applyFont="1" applyFill="1" applyBorder="1" applyAlignment="1" applyProtection="1">
      <alignment vertical="center"/>
      <protection locked="0"/>
    </xf>
    <xf numFmtId="0" fontId="94" fillId="46" borderId="114" xfId="5" applyFont="1" applyFill="1" applyBorder="1" applyAlignment="1" applyProtection="1">
      <alignment vertical="center"/>
      <protection locked="0"/>
    </xf>
    <xf numFmtId="171" fontId="94" fillId="46" borderId="44" xfId="5" applyNumberFormat="1" applyFont="1" applyFill="1" applyBorder="1" applyAlignment="1" applyProtection="1">
      <alignment horizontal="right" vertical="center"/>
      <protection locked="0"/>
    </xf>
    <xf numFmtId="171" fontId="94" fillId="46" borderId="35" xfId="5" applyNumberFormat="1" applyFont="1" applyFill="1" applyBorder="1" applyAlignment="1" applyProtection="1">
      <alignment horizontal="right" vertical="center"/>
      <protection locked="0"/>
    </xf>
    <xf numFmtId="171" fontId="94" fillId="46" borderId="119" xfId="5" applyNumberFormat="1" applyFont="1" applyFill="1" applyBorder="1" applyAlignment="1" applyProtection="1">
      <alignment horizontal="right" vertical="center"/>
      <protection locked="0"/>
    </xf>
    <xf numFmtId="0" fontId="88" fillId="0" borderId="114" xfId="5" applyFont="1" applyBorder="1" applyAlignment="1" applyProtection="1">
      <alignment vertical="center"/>
      <protection locked="0"/>
    </xf>
    <xf numFmtId="171" fontId="94" fillId="46" borderId="16" xfId="5" applyNumberFormat="1" applyFont="1" applyFill="1" applyBorder="1" applyAlignment="1" applyProtection="1">
      <alignment vertical="center"/>
      <protection locked="0"/>
    </xf>
    <xf numFmtId="171" fontId="94" fillId="46" borderId="117" xfId="5" applyNumberFormat="1" applyFont="1" applyFill="1" applyBorder="1" applyAlignment="1" applyProtection="1">
      <alignment vertical="center"/>
      <protection locked="0"/>
    </xf>
    <xf numFmtId="0" fontId="21" fillId="21" borderId="33" xfId="5" applyFont="1" applyFill="1" applyBorder="1" applyAlignment="1" applyProtection="1">
      <alignment horizontal="center" vertical="center"/>
      <protection locked="0"/>
    </xf>
    <xf numFmtId="0" fontId="21" fillId="21" borderId="34" xfId="5" applyFont="1" applyFill="1" applyBorder="1" applyAlignment="1" applyProtection="1">
      <alignment horizontal="center" vertical="center"/>
      <protection locked="0"/>
    </xf>
    <xf numFmtId="0" fontId="93" fillId="10" borderId="114" xfId="5" applyFont="1" applyFill="1" applyBorder="1" applyAlignment="1" applyProtection="1">
      <alignment vertical="center"/>
      <protection locked="0"/>
    </xf>
    <xf numFmtId="1" fontId="93" fillId="10" borderId="0" xfId="5" applyNumberFormat="1" applyFont="1" applyFill="1" applyBorder="1" applyAlignment="1" applyProtection="1">
      <alignment vertical="center"/>
      <protection locked="0"/>
    </xf>
    <xf numFmtId="1" fontId="93" fillId="10" borderId="120" xfId="5" applyNumberFormat="1" applyFont="1" applyFill="1" applyBorder="1" applyAlignment="1" applyProtection="1">
      <alignment vertical="center"/>
      <protection locked="0"/>
    </xf>
    <xf numFmtId="0" fontId="94" fillId="46" borderId="113" xfId="5" applyFont="1" applyFill="1" applyBorder="1" applyAlignment="1" applyProtection="1">
      <alignment vertical="center"/>
      <protection locked="0"/>
    </xf>
    <xf numFmtId="171" fontId="94" fillId="46" borderId="108" xfId="5" applyNumberFormat="1" applyFont="1" applyFill="1" applyBorder="1" applyAlignment="1" applyProtection="1">
      <alignment vertical="center"/>
      <protection locked="0"/>
    </xf>
    <xf numFmtId="171" fontId="94" fillId="46" borderId="122" xfId="5" applyNumberFormat="1" applyFont="1" applyFill="1" applyBorder="1" applyAlignment="1" applyProtection="1">
      <alignment vertical="center"/>
      <protection locked="0"/>
    </xf>
    <xf numFmtId="0" fontId="21" fillId="21" borderId="33" xfId="1" applyFont="1" applyFill="1" applyBorder="1" applyAlignment="1" applyProtection="1">
      <alignment horizontal="center"/>
      <protection locked="0"/>
    </xf>
    <xf numFmtId="0" fontId="21" fillId="21" borderId="34" xfId="1" applyFont="1" applyFill="1" applyBorder="1" applyAlignment="1" applyProtection="1">
      <alignment horizontal="center"/>
      <protection locked="0"/>
    </xf>
    <xf numFmtId="0" fontId="21" fillId="21" borderId="35" xfId="1" applyFont="1" applyFill="1" applyBorder="1" applyAlignment="1" applyProtection="1">
      <alignment horizontal="center"/>
      <protection locked="0"/>
    </xf>
    <xf numFmtId="3" fontId="40" fillId="5" borderId="59" xfId="1" applyNumberFormat="1" applyFont="1" applyFill="1" applyBorder="1" applyProtection="1">
      <protection locked="0"/>
    </xf>
    <xf numFmtId="0" fontId="94" fillId="46" borderId="115" xfId="5" applyFont="1" applyFill="1" applyBorder="1" applyAlignment="1" applyProtection="1">
      <alignment vertical="center"/>
      <protection locked="0"/>
    </xf>
    <xf numFmtId="171" fontId="94" fillId="46" borderId="110" xfId="5" applyNumberFormat="1" applyFont="1" applyFill="1" applyBorder="1" applyAlignment="1" applyProtection="1">
      <alignment vertical="center"/>
      <protection locked="0"/>
    </xf>
    <xf numFmtId="171" fontId="94" fillId="46" borderId="123" xfId="5" applyNumberFormat="1" applyFont="1" applyFill="1" applyBorder="1" applyAlignment="1" applyProtection="1">
      <alignment vertical="center"/>
      <protection locked="0"/>
    </xf>
    <xf numFmtId="0" fontId="88" fillId="0" borderId="0" xfId="5" applyFont="1" applyAlignment="1" applyProtection="1">
      <alignment vertical="center"/>
      <protection locked="0"/>
    </xf>
    <xf numFmtId="0" fontId="94" fillId="46" borderId="114" xfId="0" applyFont="1" applyFill="1" applyBorder="1" applyProtection="1">
      <protection locked="0"/>
    </xf>
    <xf numFmtId="171" fontId="94" fillId="46" borderId="0" xfId="0" applyNumberFormat="1" applyFont="1" applyFill="1" applyBorder="1" applyProtection="1">
      <protection locked="0"/>
    </xf>
    <xf numFmtId="171" fontId="94" fillId="46" borderId="120" xfId="0" applyNumberFormat="1" applyFont="1" applyFill="1" applyBorder="1" applyProtection="1">
      <protection locked="0"/>
    </xf>
    <xf numFmtId="0" fontId="21" fillId="6" borderId="13" xfId="5" applyFont="1" applyFill="1" applyBorder="1" applyAlignment="1" applyProtection="1">
      <alignment horizontal="center" vertical="center"/>
      <protection locked="0"/>
    </xf>
    <xf numFmtId="0" fontId="21" fillId="6" borderId="88" xfId="5" applyFont="1" applyFill="1" applyBorder="1" applyAlignment="1" applyProtection="1">
      <alignment horizontal="center" vertical="center"/>
      <protection locked="0"/>
    </xf>
    <xf numFmtId="0" fontId="21" fillId="6" borderId="52" xfId="5" applyFont="1" applyFill="1" applyBorder="1" applyAlignment="1" applyProtection="1">
      <alignment horizontal="center" vertical="center"/>
      <protection locked="0"/>
    </xf>
    <xf numFmtId="0" fontId="18" fillId="6" borderId="7" xfId="5" applyFont="1" applyFill="1" applyBorder="1" applyAlignment="1" applyProtection="1">
      <alignment horizontal="center" vertical="center"/>
      <protection locked="0"/>
    </xf>
    <xf numFmtId="0" fontId="18" fillId="6" borderId="8" xfId="5" applyFont="1" applyFill="1" applyBorder="1" applyAlignment="1" applyProtection="1">
      <alignment horizontal="center" vertical="center"/>
      <protection locked="0"/>
    </xf>
    <xf numFmtId="0" fontId="18" fillId="6" borderId="9" xfId="5" applyFont="1" applyFill="1" applyBorder="1" applyAlignment="1" applyProtection="1">
      <alignment horizontal="center" vertical="center"/>
      <protection locked="0"/>
    </xf>
    <xf numFmtId="0" fontId="93" fillId="10" borderId="114" xfId="0" applyFont="1" applyFill="1" applyBorder="1" applyProtection="1">
      <protection locked="0"/>
    </xf>
    <xf numFmtId="171" fontId="93" fillId="10" borderId="0" xfId="0" applyNumberFormat="1" applyFont="1" applyFill="1" applyBorder="1" applyProtection="1">
      <protection locked="0"/>
    </xf>
    <xf numFmtId="171" fontId="93" fillId="10" borderId="120" xfId="0" applyNumberFormat="1" applyFont="1" applyFill="1" applyBorder="1" applyProtection="1">
      <protection locked="0"/>
    </xf>
    <xf numFmtId="0" fontId="94" fillId="46" borderId="115" xfId="0" applyFont="1" applyFill="1" applyBorder="1" applyProtection="1">
      <protection locked="0"/>
    </xf>
    <xf numFmtId="171" fontId="94" fillId="46" borderId="110" xfId="0" applyNumberFormat="1" applyFont="1" applyFill="1" applyBorder="1" applyProtection="1">
      <protection locked="0"/>
    </xf>
    <xf numFmtId="171" fontId="94" fillId="46" borderId="123" xfId="0" applyNumberFormat="1" applyFont="1" applyFill="1" applyBorder="1" applyProtection="1">
      <protection locked="0"/>
    </xf>
    <xf numFmtId="173" fontId="94" fillId="46" borderId="110" xfId="0" applyNumberFormat="1" applyFont="1" applyFill="1" applyBorder="1" applyProtection="1">
      <protection locked="0"/>
    </xf>
    <xf numFmtId="173" fontId="94" fillId="46" borderId="123" xfId="0" applyNumberFormat="1" applyFont="1" applyFill="1" applyBorder="1" applyProtection="1">
      <protection locked="0"/>
    </xf>
    <xf numFmtId="171" fontId="18" fillId="14" borderId="44" xfId="5" applyNumberFormat="1" applyFont="1" applyFill="1" applyBorder="1" applyAlignment="1" applyProtection="1">
      <alignment vertical="center"/>
    </xf>
    <xf numFmtId="171" fontId="18" fillId="14" borderId="16" xfId="5" applyNumberFormat="1" applyFont="1" applyFill="1" applyBorder="1" applyAlignment="1" applyProtection="1">
      <alignment vertical="center"/>
    </xf>
    <xf numFmtId="171" fontId="18" fillId="14" borderId="60" xfId="5" applyNumberFormat="1" applyFont="1" applyFill="1" applyBorder="1" applyAlignment="1" applyProtection="1">
      <alignment horizontal="right" vertical="center"/>
    </xf>
    <xf numFmtId="171" fontId="18" fillId="14" borderId="25" xfId="5" applyNumberFormat="1" applyFont="1" applyFill="1" applyBorder="1" applyAlignment="1" applyProtection="1">
      <alignment horizontal="right" vertical="center"/>
    </xf>
    <xf numFmtId="171" fontId="18" fillId="14" borderId="9" xfId="5" applyNumberFormat="1" applyFont="1" applyFill="1" applyBorder="1" applyAlignment="1" applyProtection="1">
      <alignment horizontal="right" vertical="center"/>
    </xf>
    <xf numFmtId="171" fontId="18" fillId="14" borderId="44" xfId="5" applyNumberFormat="1" applyFont="1" applyFill="1" applyBorder="1" applyAlignment="1" applyProtection="1">
      <alignment horizontal="right" vertical="center"/>
    </xf>
    <xf numFmtId="171" fontId="18" fillId="14" borderId="35" xfId="5" applyNumberFormat="1" applyFont="1" applyFill="1" applyBorder="1" applyAlignment="1" applyProtection="1">
      <alignment horizontal="right" vertical="center"/>
    </xf>
    <xf numFmtId="171" fontId="21" fillId="14" borderId="44" xfId="5" applyNumberFormat="1" applyFont="1" applyFill="1" applyBorder="1" applyAlignment="1" applyProtection="1">
      <alignment horizontal="right" vertical="center"/>
    </xf>
    <xf numFmtId="171" fontId="21" fillId="14" borderId="35" xfId="5" applyNumberFormat="1" applyFont="1" applyFill="1" applyBorder="1" applyAlignment="1" applyProtection="1">
      <alignment horizontal="right" vertical="center"/>
    </xf>
    <xf numFmtId="171" fontId="18" fillId="14" borderId="37" xfId="5" applyNumberFormat="1" applyFont="1" applyFill="1" applyBorder="1" applyAlignment="1" applyProtection="1">
      <alignment vertical="center"/>
    </xf>
    <xf numFmtId="171" fontId="18" fillId="14" borderId="16" xfId="5" applyNumberFormat="1" applyFont="1" applyFill="1" applyBorder="1" applyAlignment="1" applyProtection="1">
      <alignment horizontal="center" vertical="center" wrapText="1"/>
    </xf>
    <xf numFmtId="171" fontId="18" fillId="14" borderId="8" xfId="5" applyNumberFormat="1" applyFont="1" applyFill="1" applyBorder="1" applyAlignment="1" applyProtection="1">
      <alignment vertical="center"/>
    </xf>
    <xf numFmtId="171" fontId="18" fillId="14" borderId="60" xfId="5" applyNumberFormat="1" applyFont="1" applyFill="1" applyBorder="1" applyAlignment="1" applyProtection="1">
      <alignment vertical="center"/>
    </xf>
    <xf numFmtId="0" fontId="92" fillId="14" borderId="113" xfId="5" applyFont="1" applyFill="1" applyBorder="1" applyAlignment="1" applyProtection="1">
      <alignment vertical="center"/>
    </xf>
    <xf numFmtId="171" fontId="92" fillId="14" borderId="109" xfId="5" applyNumberFormat="1" applyFont="1" applyFill="1" applyBorder="1" applyAlignment="1" applyProtection="1">
      <alignment vertical="center"/>
    </xf>
    <xf numFmtId="171" fontId="92" fillId="14" borderId="116" xfId="5" applyNumberFormat="1" applyFont="1" applyFill="1" applyBorder="1" applyAlignment="1" applyProtection="1">
      <alignment vertical="center"/>
    </xf>
    <xf numFmtId="171" fontId="18" fillId="14" borderId="11" xfId="5" applyNumberFormat="1" applyFont="1" applyFill="1" applyBorder="1" applyAlignment="1" applyProtection="1">
      <alignment vertical="center"/>
    </xf>
    <xf numFmtId="171" fontId="18" fillId="14" borderId="64" xfId="5" applyNumberFormat="1" applyFont="1" applyFill="1" applyBorder="1" applyAlignment="1" applyProtection="1">
      <alignment vertical="center"/>
    </xf>
    <xf numFmtId="0" fontId="93" fillId="14" borderId="114" xfId="5" applyFont="1" applyFill="1" applyBorder="1" applyAlignment="1" applyProtection="1">
      <alignment vertical="center"/>
    </xf>
    <xf numFmtId="171" fontId="93" fillId="14" borderId="16" xfId="5" applyNumberFormat="1" applyFont="1" applyFill="1" applyBorder="1" applyAlignment="1" applyProtection="1">
      <alignment vertical="center"/>
    </xf>
    <xf numFmtId="171" fontId="93" fillId="14" borderId="117" xfId="5" applyNumberFormat="1" applyFont="1" applyFill="1" applyBorder="1" applyAlignment="1" applyProtection="1">
      <alignment vertical="center"/>
    </xf>
    <xf numFmtId="171" fontId="93" fillId="14" borderId="60" xfId="5" applyNumberFormat="1" applyFont="1" applyFill="1" applyBorder="1" applyAlignment="1" applyProtection="1">
      <alignment horizontal="right" vertical="center"/>
    </xf>
    <xf numFmtId="171" fontId="93" fillId="14" borderId="25" xfId="5" applyNumberFormat="1" applyFont="1" applyFill="1" applyBorder="1" applyAlignment="1" applyProtection="1">
      <alignment horizontal="right" vertical="center"/>
    </xf>
    <xf numFmtId="171" fontId="93" fillId="14" borderId="9" xfId="5" applyNumberFormat="1" applyFont="1" applyFill="1" applyBorder="1" applyAlignment="1" applyProtection="1">
      <alignment horizontal="right" vertical="center"/>
    </xf>
    <xf numFmtId="171" fontId="93" fillId="14" borderId="118" xfId="5" applyNumberFormat="1" applyFont="1" applyFill="1" applyBorder="1" applyAlignment="1" applyProtection="1">
      <alignment horizontal="right" vertical="center"/>
    </xf>
    <xf numFmtId="0" fontId="18" fillId="14" borderId="4" xfId="5" applyFont="1" applyFill="1" applyBorder="1" applyAlignment="1" applyProtection="1">
      <alignment horizontal="center" vertical="center" wrapText="1"/>
    </xf>
    <xf numFmtId="0" fontId="18" fillId="14" borderId="5" xfId="5" applyFont="1" applyFill="1" applyBorder="1" applyAlignment="1" applyProtection="1">
      <alignment horizontal="center" vertical="center" wrapText="1"/>
    </xf>
    <xf numFmtId="171" fontId="18" fillId="14" borderId="5" xfId="5" applyNumberFormat="1" applyFont="1" applyFill="1" applyBorder="1" applyAlignment="1" applyProtection="1">
      <alignment horizontal="center" vertical="center"/>
    </xf>
    <xf numFmtId="0" fontId="18" fillId="14" borderId="7" xfId="5" applyFont="1" applyFill="1" applyBorder="1" applyAlignment="1" applyProtection="1">
      <alignment horizontal="center" vertical="center" wrapText="1"/>
    </xf>
    <xf numFmtId="0" fontId="18" fillId="14" borderId="8" xfId="5" applyFont="1" applyFill="1" applyBorder="1" applyAlignment="1" applyProtection="1">
      <alignment horizontal="center" vertical="center" wrapText="1"/>
    </xf>
    <xf numFmtId="171" fontId="18" fillId="14" borderId="8" xfId="5" applyNumberFormat="1" applyFont="1" applyFill="1" applyBorder="1" applyAlignment="1" applyProtection="1">
      <alignment horizontal="center" vertical="center"/>
    </xf>
    <xf numFmtId="171" fontId="18" fillId="14" borderId="119" xfId="5" applyNumberFormat="1" applyFont="1" applyFill="1" applyBorder="1" applyAlignment="1" applyProtection="1">
      <alignment horizontal="right" vertical="center"/>
    </xf>
    <xf numFmtId="171" fontId="93" fillId="14" borderId="44" xfId="5" applyNumberFormat="1" applyFont="1" applyFill="1" applyBorder="1" applyAlignment="1" applyProtection="1">
      <alignment horizontal="right" vertical="center"/>
    </xf>
    <xf numFmtId="171" fontId="93" fillId="14" borderId="35" xfId="5" applyNumberFormat="1" applyFont="1" applyFill="1" applyBorder="1" applyAlignment="1" applyProtection="1">
      <alignment horizontal="right" vertical="center"/>
    </xf>
    <xf numFmtId="171" fontId="93" fillId="14" borderId="119" xfId="5" applyNumberFormat="1" applyFont="1" applyFill="1" applyBorder="1" applyAlignment="1" applyProtection="1">
      <alignment horizontal="right" vertical="center"/>
    </xf>
    <xf numFmtId="171" fontId="93" fillId="14" borderId="44" xfId="5" applyNumberFormat="1" applyFont="1" applyFill="1" applyBorder="1" applyAlignment="1" applyProtection="1">
      <alignment vertical="center"/>
    </xf>
    <xf numFmtId="171" fontId="93" fillId="14" borderId="119" xfId="5" applyNumberFormat="1" applyFont="1" applyFill="1" applyBorder="1" applyAlignment="1" applyProtection="1">
      <alignment vertical="center"/>
    </xf>
    <xf numFmtId="0" fontId="18" fillId="14" borderId="10" xfId="5" applyFont="1" applyFill="1" applyBorder="1" applyAlignment="1" applyProtection="1">
      <alignment horizontal="center" vertical="center" wrapText="1"/>
    </xf>
    <xf numFmtId="0" fontId="18" fillId="14" borderId="11" xfId="5" applyFont="1" applyFill="1" applyBorder="1" applyAlignment="1" applyProtection="1">
      <alignment horizontal="center" vertical="center" wrapText="1"/>
    </xf>
    <xf numFmtId="171" fontId="18" fillId="14" borderId="11" xfId="5" applyNumberFormat="1" applyFont="1" applyFill="1" applyBorder="1" applyAlignment="1" applyProtection="1">
      <alignment horizontal="center" vertical="center"/>
    </xf>
    <xf numFmtId="9" fontId="18" fillId="14" borderId="65" xfId="5" applyNumberFormat="1" applyFont="1" applyFill="1" applyBorder="1" applyAlignment="1" applyProtection="1">
      <alignment vertical="center"/>
    </xf>
    <xf numFmtId="177" fontId="18" fillId="14" borderId="66" xfId="5" applyNumberFormat="1" applyFont="1" applyFill="1" applyBorder="1" applyAlignment="1" applyProtection="1">
      <alignment horizontal="right" vertical="center"/>
    </xf>
    <xf numFmtId="177" fontId="18" fillId="14" borderId="67" xfId="5" applyNumberFormat="1" applyFont="1" applyFill="1" applyBorder="1" applyAlignment="1" applyProtection="1">
      <alignment horizontal="left" vertical="center"/>
    </xf>
    <xf numFmtId="9" fontId="18" fillId="14" borderId="17" xfId="5" applyNumberFormat="1" applyFont="1" applyFill="1" applyBorder="1" applyAlignment="1" applyProtection="1">
      <alignment vertical="center"/>
    </xf>
    <xf numFmtId="177" fontId="18" fillId="14" borderId="68" xfId="5" applyNumberFormat="1" applyFont="1" applyFill="1" applyBorder="1" applyAlignment="1" applyProtection="1">
      <alignment horizontal="right" vertical="center"/>
    </xf>
    <xf numFmtId="177" fontId="18" fillId="14" borderId="15" xfId="5" applyNumberFormat="1" applyFont="1" applyFill="1" applyBorder="1" applyAlignment="1" applyProtection="1">
      <alignment horizontal="left" vertical="center"/>
    </xf>
    <xf numFmtId="177" fontId="18" fillId="14" borderId="69" xfId="5" applyNumberFormat="1" applyFont="1" applyFill="1" applyBorder="1" applyAlignment="1" applyProtection="1">
      <alignment horizontal="right" vertical="center"/>
    </xf>
    <xf numFmtId="9" fontId="18" fillId="14" borderId="70" xfId="5" applyNumberFormat="1" applyFont="1" applyFill="1" applyBorder="1" applyAlignment="1" applyProtection="1">
      <alignment vertical="center"/>
    </xf>
    <xf numFmtId="177" fontId="18" fillId="14" borderId="71" xfId="5" applyNumberFormat="1" applyFont="1" applyFill="1" applyBorder="1" applyAlignment="1" applyProtection="1">
      <alignment horizontal="right" vertical="center"/>
    </xf>
    <xf numFmtId="177" fontId="18" fillId="14" borderId="72" xfId="5" applyNumberFormat="1" applyFont="1" applyFill="1" applyBorder="1" applyAlignment="1" applyProtection="1">
      <alignment vertical="center"/>
    </xf>
    <xf numFmtId="0" fontId="93" fillId="14" borderId="115" xfId="5" applyFont="1" applyFill="1" applyBorder="1" applyAlignment="1" applyProtection="1">
      <alignment vertical="center"/>
    </xf>
    <xf numFmtId="171" fontId="93" fillId="14" borderId="111" xfId="5" applyNumberFormat="1" applyFont="1" applyFill="1" applyBorder="1" applyAlignment="1" applyProtection="1">
      <alignment vertical="center"/>
    </xf>
    <xf numFmtId="171" fontId="93" fillId="14" borderId="121" xfId="5" applyNumberFormat="1" applyFont="1" applyFill="1" applyBorder="1" applyAlignment="1" applyProtection="1">
      <alignment vertical="center"/>
    </xf>
    <xf numFmtId="0" fontId="18" fillId="14" borderId="21" xfId="5" applyFont="1" applyFill="1" applyBorder="1" applyAlignment="1" applyProtection="1">
      <alignment horizontal="left" vertical="center" wrapText="1"/>
    </xf>
    <xf numFmtId="0" fontId="18" fillId="14" borderId="30" xfId="5" applyFont="1" applyFill="1" applyBorder="1" applyAlignment="1" applyProtection="1">
      <alignment horizontal="left" vertical="center" wrapText="1"/>
    </xf>
    <xf numFmtId="0" fontId="18" fillId="14" borderId="31" xfId="5" applyFont="1" applyFill="1" applyBorder="1" applyAlignment="1" applyProtection="1">
      <alignment horizontal="left" vertical="center" wrapText="1"/>
    </xf>
    <xf numFmtId="0" fontId="18" fillId="14" borderId="48" xfId="5" applyFont="1" applyFill="1" applyBorder="1" applyAlignment="1" applyProtection="1">
      <alignment horizontal="left" vertical="center" wrapText="1"/>
    </xf>
    <xf numFmtId="171" fontId="93" fillId="14" borderId="0" xfId="5" applyNumberFormat="1" applyFont="1" applyFill="1" applyBorder="1" applyAlignment="1" applyProtection="1">
      <alignment vertical="center"/>
    </xf>
    <xf numFmtId="171" fontId="93" fillId="14" borderId="120" xfId="5" applyNumberFormat="1" applyFont="1" applyFill="1" applyBorder="1" applyAlignment="1" applyProtection="1">
      <alignment vertical="center"/>
    </xf>
    <xf numFmtId="171" fontId="40" fillId="14" borderId="79" xfId="1" applyNumberFormat="1" applyFont="1" applyFill="1" applyBorder="1" applyProtection="1"/>
    <xf numFmtId="171" fontId="40" fillId="14" borderId="82" xfId="1" applyNumberFormat="1" applyFont="1" applyFill="1" applyBorder="1" applyProtection="1"/>
    <xf numFmtId="171" fontId="40" fillId="14" borderId="85" xfId="1" applyNumberFormat="1" applyFont="1" applyFill="1" applyBorder="1" applyProtection="1"/>
    <xf numFmtId="177" fontId="18" fillId="14" borderId="67" xfId="5" applyNumberFormat="1" applyFont="1" applyFill="1" applyBorder="1" applyAlignment="1" applyProtection="1">
      <alignment horizontal="right" vertical="center"/>
    </xf>
    <xf numFmtId="177" fontId="18" fillId="14" borderId="15" xfId="5" applyNumberFormat="1" applyFont="1" applyFill="1" applyBorder="1" applyAlignment="1" applyProtection="1">
      <alignment vertical="center"/>
    </xf>
    <xf numFmtId="177" fontId="18" fillId="14" borderId="67" xfId="5" applyNumberFormat="1" applyFont="1" applyFill="1" applyBorder="1" applyAlignment="1" applyProtection="1">
      <alignment vertical="center"/>
    </xf>
    <xf numFmtId="0" fontId="93" fillId="14" borderId="113" xfId="0" applyFont="1" applyFill="1" applyBorder="1" applyProtection="1"/>
    <xf numFmtId="171" fontId="93" fillId="14" borderId="108" xfId="0" applyNumberFormat="1" applyFont="1" applyFill="1" applyBorder="1" applyProtection="1"/>
    <xf numFmtId="171" fontId="93" fillId="14" borderId="122" xfId="0" applyNumberFormat="1" applyFont="1" applyFill="1" applyBorder="1" applyProtection="1"/>
    <xf numFmtId="0" fontId="93" fillId="14" borderId="114" xfId="0" applyFont="1" applyFill="1" applyBorder="1" applyProtection="1"/>
    <xf numFmtId="171" fontId="93" fillId="14" borderId="0" xfId="0" applyNumberFormat="1" applyFont="1" applyFill="1" applyBorder="1" applyProtection="1"/>
    <xf numFmtId="171" fontId="93" fillId="14" borderId="120" xfId="0" applyNumberFormat="1" applyFont="1" applyFill="1" applyBorder="1" applyProtection="1"/>
    <xf numFmtId="9" fontId="18" fillId="14" borderId="7" xfId="5" applyNumberFormat="1" applyFont="1" applyFill="1" applyBorder="1" applyAlignment="1" applyProtection="1">
      <alignment horizontal="center" vertical="center"/>
    </xf>
    <xf numFmtId="171" fontId="18" fillId="14" borderId="9" xfId="5" applyNumberFormat="1" applyFont="1" applyFill="1" applyBorder="1" applyAlignment="1" applyProtection="1">
      <alignment vertical="center"/>
    </xf>
    <xf numFmtId="0" fontId="95" fillId="0" borderId="0" xfId="0" applyFont="1" applyProtection="1">
      <protection locked="0"/>
    </xf>
    <xf numFmtId="0" fontId="93" fillId="10" borderId="113" xfId="0" applyFont="1" applyFill="1" applyBorder="1" applyProtection="1">
      <protection locked="0"/>
    </xf>
    <xf numFmtId="1" fontId="93" fillId="10" borderId="122" xfId="0" applyNumberFormat="1" applyFont="1" applyFill="1" applyBorder="1" applyProtection="1">
      <protection locked="0"/>
    </xf>
    <xf numFmtId="1" fontId="93" fillId="10" borderId="120" xfId="0" applyNumberFormat="1" applyFont="1" applyFill="1" applyBorder="1" applyProtection="1">
      <protection locked="0"/>
    </xf>
    <xf numFmtId="1" fontId="94" fillId="46" borderId="123" xfId="0" applyNumberFormat="1" applyFont="1" applyFill="1" applyBorder="1" applyProtection="1">
      <protection locked="0"/>
    </xf>
    <xf numFmtId="166" fontId="94" fillId="46" borderId="110" xfId="0" applyNumberFormat="1" applyFont="1" applyFill="1" applyBorder="1" applyProtection="1">
      <protection locked="0"/>
    </xf>
    <xf numFmtId="166" fontId="94" fillId="46" borderId="123" xfId="0" applyNumberFormat="1" applyFont="1" applyFill="1" applyBorder="1" applyProtection="1">
      <protection locked="0"/>
    </xf>
    <xf numFmtId="0" fontId="92" fillId="14" borderId="0" xfId="0" applyFont="1" applyFill="1" applyProtection="1"/>
    <xf numFmtId="1" fontId="92" fillId="14" borderId="0" xfId="0" applyNumberFormat="1" applyFont="1" applyFill="1" applyProtection="1"/>
    <xf numFmtId="0" fontId="93" fillId="14" borderId="108" xfId="0" applyFont="1" applyFill="1" applyBorder="1" applyProtection="1"/>
    <xf numFmtId="0" fontId="93" fillId="14" borderId="122" xfId="0" applyFont="1" applyFill="1" applyBorder="1" applyProtection="1"/>
    <xf numFmtId="2" fontId="93" fillId="14" borderId="0" xfId="0" applyNumberFormat="1" applyFont="1" applyFill="1" applyBorder="1" applyProtection="1"/>
    <xf numFmtId="2" fontId="93" fillId="14" borderId="120" xfId="0" applyNumberFormat="1" applyFont="1" applyFill="1" applyBorder="1" applyProtection="1"/>
    <xf numFmtId="3" fontId="93" fillId="14" borderId="0" xfId="0" applyNumberFormat="1" applyFont="1" applyFill="1" applyBorder="1" applyProtection="1"/>
    <xf numFmtId="3" fontId="93" fillId="14" borderId="120" xfId="0" applyNumberFormat="1" applyFont="1" applyFill="1" applyBorder="1" applyProtection="1"/>
    <xf numFmtId="3" fontId="93" fillId="14" borderId="108" xfId="0" applyNumberFormat="1" applyFont="1" applyFill="1" applyBorder="1" applyProtection="1"/>
    <xf numFmtId="3" fontId="93" fillId="14" borderId="122" xfId="0" applyNumberFormat="1" applyFont="1" applyFill="1" applyBorder="1" applyProtection="1"/>
    <xf numFmtId="0" fontId="7" fillId="0" borderId="0" xfId="1" applyFont="1" applyAlignment="1" applyProtection="1">
      <alignment horizontal="left" vertical="center"/>
      <protection locked="0"/>
    </xf>
    <xf numFmtId="0" fontId="1" fillId="11" borderId="23" xfId="1" applyFont="1" applyFill="1" applyBorder="1" applyAlignment="1" applyProtection="1">
      <alignment horizontal="center" vertical="center"/>
      <protection locked="0"/>
    </xf>
    <xf numFmtId="164" fontId="1" fillId="11" borderId="8" xfId="1" applyNumberFormat="1" applyFont="1" applyFill="1" applyBorder="1" applyAlignment="1" applyProtection="1">
      <alignment vertical="center"/>
      <protection locked="0"/>
    </xf>
    <xf numFmtId="167" fontId="1" fillId="11" borderId="36" xfId="4" applyNumberFormat="1" applyFont="1" applyFill="1" applyBorder="1" applyAlignment="1" applyProtection="1">
      <alignment horizontal="center" vertical="center"/>
      <protection locked="0"/>
    </xf>
    <xf numFmtId="0" fontId="2" fillId="11" borderId="36" xfId="1" applyFill="1" applyBorder="1" applyAlignment="1" applyProtection="1">
      <alignment vertical="top" wrapText="1"/>
      <protection locked="0"/>
    </xf>
    <xf numFmtId="0" fontId="2" fillId="11" borderId="23" xfId="1" applyFill="1" applyBorder="1" applyAlignment="1" applyProtection="1">
      <alignment vertical="top" wrapText="1"/>
      <protection locked="0"/>
    </xf>
    <xf numFmtId="0" fontId="2" fillId="11" borderId="24" xfId="1" applyFill="1" applyBorder="1" applyAlignment="1" applyProtection="1">
      <alignment vertical="top" wrapText="1"/>
      <protection locked="0"/>
    </xf>
    <xf numFmtId="0" fontId="1" fillId="11" borderId="20" xfId="1" applyFont="1" applyFill="1" applyBorder="1" applyAlignment="1" applyProtection="1">
      <alignment horizontal="center" vertical="center"/>
      <protection locked="0"/>
    </xf>
    <xf numFmtId="0" fontId="1" fillId="11" borderId="21" xfId="1" applyFont="1" applyFill="1" applyBorder="1" applyAlignment="1" applyProtection="1">
      <alignment horizontal="center" vertical="center"/>
      <protection locked="0"/>
    </xf>
    <xf numFmtId="164" fontId="1" fillId="11" borderId="57" xfId="1" applyNumberFormat="1" applyFont="1" applyFill="1" applyBorder="1" applyAlignment="1" applyProtection="1">
      <alignment vertical="center"/>
      <protection locked="0"/>
    </xf>
    <xf numFmtId="167" fontId="1" fillId="11" borderId="58" xfId="4" applyNumberFormat="1" applyFont="1" applyFill="1" applyBorder="1" applyAlignment="1" applyProtection="1">
      <alignment horizontal="center" vertical="center"/>
      <protection locked="0"/>
    </xf>
    <xf numFmtId="0" fontId="2" fillId="11" borderId="0" xfId="1" applyFill="1" applyAlignment="1" applyProtection="1">
      <alignment vertical="center"/>
      <protection locked="0"/>
    </xf>
    <xf numFmtId="164" fontId="1" fillId="11" borderId="90" xfId="1" applyNumberFormat="1" applyFont="1" applyFill="1" applyBorder="1" applyAlignment="1" applyProtection="1">
      <alignment vertical="center"/>
      <protection locked="0"/>
    </xf>
    <xf numFmtId="0" fontId="2" fillId="11" borderId="0" xfId="1" applyFill="1" applyAlignment="1" applyProtection="1">
      <alignment vertical="top" wrapText="1"/>
      <protection locked="0"/>
    </xf>
    <xf numFmtId="0" fontId="16" fillId="14" borderId="8" xfId="1" applyFont="1" applyFill="1" applyBorder="1" applyAlignment="1" applyProtection="1">
      <alignment horizontal="center" vertical="center" wrapText="1"/>
    </xf>
    <xf numFmtId="164" fontId="8" fillId="14" borderId="36" xfId="1" applyNumberFormat="1" applyFont="1" applyFill="1" applyBorder="1" applyAlignment="1" applyProtection="1">
      <alignment horizontal="center" vertical="center" wrapText="1"/>
    </xf>
    <xf numFmtId="164" fontId="16" fillId="14" borderId="8" xfId="1" applyNumberFormat="1" applyFont="1" applyFill="1" applyBorder="1" applyAlignment="1" applyProtection="1">
      <alignment horizontal="center" vertical="center" wrapText="1"/>
    </xf>
    <xf numFmtId="0" fontId="16" fillId="14" borderId="8" xfId="1" applyFont="1" applyFill="1" applyBorder="1" applyAlignment="1" applyProtection="1">
      <alignment vertical="center"/>
    </xf>
    <xf numFmtId="0" fontId="16" fillId="14" borderId="8" xfId="1" applyFont="1" applyFill="1" applyBorder="1" applyAlignment="1" applyProtection="1">
      <alignment horizontal="center" vertical="center"/>
    </xf>
    <xf numFmtId="164" fontId="16" fillId="14" borderId="8" xfId="1" applyNumberFormat="1" applyFont="1" applyFill="1" applyBorder="1" applyAlignment="1" applyProtection="1">
      <alignment vertical="center"/>
    </xf>
    <xf numFmtId="164" fontId="16" fillId="14" borderId="18" xfId="1" applyNumberFormat="1" applyFont="1" applyFill="1" applyBorder="1" applyAlignment="1" applyProtection="1">
      <alignment horizontal="center" vertical="center"/>
    </xf>
    <xf numFmtId="164" fontId="16" fillId="14" borderId="8" xfId="1" applyNumberFormat="1" applyFont="1" applyFill="1" applyBorder="1" applyAlignment="1" applyProtection="1">
      <alignment horizontal="center" vertical="center"/>
    </xf>
    <xf numFmtId="164" fontId="2" fillId="14" borderId="24" xfId="1" applyNumberFormat="1" applyFill="1" applyBorder="1" applyAlignment="1" applyProtection="1">
      <alignment horizontal="center" vertical="center"/>
    </xf>
    <xf numFmtId="164" fontId="2" fillId="14" borderId="37" xfId="1" applyNumberFormat="1" applyFill="1" applyBorder="1" applyAlignment="1" applyProtection="1">
      <alignment horizontal="center" vertical="center"/>
    </xf>
    <xf numFmtId="164" fontId="32" fillId="14" borderId="8" xfId="1" applyNumberFormat="1" applyFont="1" applyFill="1" applyBorder="1" applyAlignment="1" applyProtection="1">
      <alignment horizontal="center" vertical="center"/>
    </xf>
    <xf numFmtId="4" fontId="32" fillId="14" borderId="11" xfId="1" applyNumberFormat="1" applyFont="1" applyFill="1" applyBorder="1" applyAlignment="1" applyProtection="1">
      <alignment horizontal="center" vertical="center"/>
    </xf>
    <xf numFmtId="3" fontId="32" fillId="14" borderId="11" xfId="1" applyNumberFormat="1" applyFont="1" applyFill="1" applyBorder="1" applyAlignment="1" applyProtection="1">
      <alignment horizontal="center" vertical="center"/>
    </xf>
    <xf numFmtId="0" fontId="16" fillId="14" borderId="8" xfId="1" applyFont="1" applyFill="1" applyBorder="1" applyProtection="1"/>
    <xf numFmtId="0" fontId="16" fillId="14" borderId="9" xfId="1" applyFont="1" applyFill="1" applyBorder="1" applyProtection="1"/>
    <xf numFmtId="0" fontId="16" fillId="14" borderId="10" xfId="1" applyFont="1" applyFill="1" applyBorder="1" applyProtection="1"/>
    <xf numFmtId="0" fontId="16" fillId="14" borderId="11" xfId="1" applyFont="1" applyFill="1" applyBorder="1" applyProtection="1"/>
    <xf numFmtId="0" fontId="2" fillId="14" borderId="8" xfId="1" applyFill="1" applyBorder="1" applyProtection="1"/>
    <xf numFmtId="2" fontId="2" fillId="14" borderId="8" xfId="1" applyNumberFormat="1" applyFill="1" applyBorder="1" applyProtection="1"/>
    <xf numFmtId="0" fontId="21" fillId="2" borderId="0" xfId="5" applyFont="1" applyFill="1" applyAlignment="1" applyProtection="1">
      <alignment vertical="center"/>
      <protection locked="0"/>
    </xf>
    <xf numFmtId="0" fontId="49" fillId="14" borderId="93" xfId="0" applyFont="1" applyFill="1" applyBorder="1" applyAlignment="1" applyProtection="1">
      <alignment horizontal="left"/>
    </xf>
    <xf numFmtId="0" fontId="49" fillId="14" borderId="95" xfId="0" applyFont="1" applyFill="1" applyBorder="1" applyAlignment="1" applyProtection="1">
      <alignment horizontal="left"/>
    </xf>
  </cellXfs>
  <cellStyles count="14">
    <cellStyle name="Lien hypertexte 2" xfId="10" xr:uid="{B72284BC-AEDF-4E8A-B304-5519A37E4899}"/>
    <cellStyle name="Milliers 2" xfId="6" xr:uid="{DC173186-131D-4591-9A7C-721E57687A40}"/>
    <cellStyle name="Milliers 3" xfId="8" xr:uid="{AA7EC66C-0DF3-48CF-B8B5-98801D8B44CF}"/>
    <cellStyle name="Monétaire" xfId="3" builtinId="4"/>
    <cellStyle name="Monétaire 2" xfId="9" xr:uid="{1F9C7DAE-4281-4C0C-8284-370E2F823D2D}"/>
    <cellStyle name="Normal" xfId="0" builtinId="0"/>
    <cellStyle name="Normal 2" xfId="1" xr:uid="{82DDA42B-F9A4-4ECE-A778-E3AE44055BD9}"/>
    <cellStyle name="Normal 3" xfId="5" xr:uid="{7DA344FF-A95D-4BC2-9733-588EB71586FE}"/>
    <cellStyle name="Normal 4" xfId="12" xr:uid="{241C2452-3D8A-48EB-A4FC-764424155F6E}"/>
    <cellStyle name="Normal 5" xfId="11" xr:uid="{EA82CFE6-2BAF-4C6F-83FA-C0D78F35DF74}"/>
    <cellStyle name="Normal_Feuil1" xfId="7" xr:uid="{2C072C26-AAB1-4D8A-96EF-3D32315527EF}"/>
    <cellStyle name="Pourcentage" xfId="4" builtinId="5"/>
    <cellStyle name="Pourcentage 2" xfId="2" xr:uid="{8FB530BC-03DD-495B-8B1E-9E81148BBC47}"/>
    <cellStyle name="Pourcentage 3" xfId="13" xr:uid="{BFF80483-36E4-4A92-9089-20D72E2E4D45}"/>
  </cellStyles>
  <dxfs count="150">
    <dxf>
      <protection locked="0"/>
    </dxf>
    <dxf>
      <protection locked="0"/>
    </dxf>
    <dxf>
      <font>
        <b val="0"/>
        <i val="0"/>
        <strike val="0"/>
        <condense val="0"/>
        <extend val="0"/>
        <outline val="0"/>
        <shadow val="0"/>
        <u val="none"/>
        <vertAlign val="baseline"/>
        <sz val="10"/>
        <color auto="1"/>
        <name val="Calibri"/>
        <family val="2"/>
        <scheme val="none"/>
      </font>
      <numFmt numFmtId="164" formatCode="#,##0.00\ &quot;€&quot;"/>
      <fill>
        <patternFill patternType="solid">
          <fgColor indexed="64"/>
          <bgColor rgb="FF9DB4D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dxf>
    <dxf>
      <font>
        <b val="0"/>
        <i val="0"/>
        <strike val="0"/>
        <condense val="0"/>
        <extend val="0"/>
        <outline val="0"/>
        <shadow val="0"/>
        <u val="none"/>
        <vertAlign val="baseline"/>
        <sz val="10"/>
        <color auto="1"/>
        <name val="Calibri"/>
        <family val="2"/>
        <scheme val="none"/>
      </font>
      <fill>
        <patternFill patternType="solid">
          <fgColor indexed="64"/>
          <bgColor rgb="FF9DB4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dxf>
    <dxf>
      <font>
        <b val="0"/>
        <i val="0"/>
        <strike val="0"/>
        <condense val="0"/>
        <extend val="0"/>
        <outline val="0"/>
        <shadow val="0"/>
        <u val="none"/>
        <vertAlign val="baseline"/>
        <sz val="10"/>
        <color auto="1"/>
        <name val="Calibri"/>
        <family val="2"/>
        <scheme val="none"/>
      </font>
      <fill>
        <patternFill patternType="solid">
          <fgColor indexed="64"/>
          <bgColor rgb="FF9DB4D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dxf>
    <dxf>
      <font>
        <b val="0"/>
        <i val="0"/>
        <strike val="0"/>
        <condense val="0"/>
        <extend val="0"/>
        <outline val="0"/>
        <shadow val="0"/>
        <u val="none"/>
        <vertAlign val="baseline"/>
        <sz val="10"/>
        <color auto="1"/>
        <name val="Calibri"/>
        <family val="2"/>
        <scheme val="none"/>
      </font>
      <fill>
        <patternFill patternType="solid">
          <fgColor indexed="64"/>
          <bgColor rgb="FF9DB4D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dxf>
    <dxf>
      <protection locked="0"/>
    </dxf>
    <dxf>
      <protection locked="0"/>
    </dxf>
    <dxf>
      <font>
        <b val="0"/>
        <i val="0"/>
        <strike val="0"/>
        <condense val="0"/>
        <extend val="0"/>
        <outline val="0"/>
        <shadow val="0"/>
        <u val="none"/>
        <vertAlign val="baseline"/>
        <sz val="10"/>
        <color auto="1"/>
        <name val="Calibri"/>
        <family val="2"/>
        <scheme val="none"/>
      </font>
      <numFmt numFmtId="164" formatCode="#,##0.00\ &quot;€&quot;"/>
      <fill>
        <patternFill patternType="solid">
          <fgColor indexed="64"/>
          <bgColor rgb="FF9DB4D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dxf>
    <dxf>
      <font>
        <b val="0"/>
        <i val="0"/>
        <strike val="0"/>
        <condense val="0"/>
        <extend val="0"/>
        <outline val="0"/>
        <shadow val="0"/>
        <u val="none"/>
        <vertAlign val="baseline"/>
        <sz val="10"/>
        <color auto="1"/>
        <name val="Calibri"/>
        <family val="2"/>
        <scheme val="none"/>
      </font>
      <fill>
        <patternFill patternType="solid">
          <fgColor indexed="64"/>
          <bgColor rgb="FF9DB4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dxf>
    <dxf>
      <font>
        <b val="0"/>
        <i val="0"/>
        <strike val="0"/>
        <condense val="0"/>
        <extend val="0"/>
        <outline val="0"/>
        <shadow val="0"/>
        <u val="none"/>
        <vertAlign val="baseline"/>
        <sz val="10"/>
        <color auto="1"/>
        <name val="Calibri"/>
        <family val="2"/>
        <scheme val="none"/>
      </font>
      <fill>
        <patternFill patternType="solid">
          <fgColor indexed="64"/>
          <bgColor rgb="FFACD7CA"/>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dxf>
    <dxf>
      <font>
        <b val="0"/>
        <i val="0"/>
        <strike val="0"/>
        <condense val="0"/>
        <extend val="0"/>
        <outline val="0"/>
        <shadow val="0"/>
        <u val="none"/>
        <vertAlign val="baseline"/>
        <sz val="10"/>
        <color auto="1"/>
        <name val="Calibri"/>
        <family val="2"/>
        <scheme val="none"/>
      </font>
      <fill>
        <patternFill patternType="solid">
          <fgColor indexed="64"/>
          <bgColor rgb="FFACD7CA"/>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dxf>
    <dxf>
      <font>
        <b val="0"/>
        <i val="0"/>
        <strike val="0"/>
        <condense val="0"/>
        <extend val="0"/>
        <outline val="0"/>
        <shadow val="0"/>
        <u val="none"/>
        <vertAlign val="baseline"/>
        <sz val="10"/>
        <color auto="1"/>
        <name val="Calibri"/>
        <family val="2"/>
        <scheme val="none"/>
      </font>
      <fill>
        <patternFill patternType="solid">
          <fgColor indexed="64"/>
          <bgColor rgb="FF9DB4D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0"/>
    </dxf>
    <dxf>
      <protection locked="0"/>
    </dxf>
    <dxf>
      <protection locked="0"/>
    </dxf>
    <dxf>
      <protection locked="0"/>
    </dxf>
    <dxf>
      <font>
        <color rgb="FF006100"/>
      </font>
      <fill>
        <patternFill patternType="solid">
          <fgColor indexed="64"/>
          <bgColor rgb="FFC6EFCE"/>
        </patternFill>
      </fill>
    </dxf>
    <dxf>
      <font>
        <color rgb="FF9C5700"/>
      </font>
      <fill>
        <patternFill patternType="solid">
          <fgColor indexed="64"/>
          <bgColor rgb="FFFFEB9C"/>
        </patternFill>
      </fill>
    </dxf>
    <dxf>
      <font>
        <b/>
        <i val="0"/>
        <color rgb="FF9C0006"/>
      </font>
      <fill>
        <patternFill patternType="solid">
          <fgColor indexed="64"/>
          <bgColor rgb="FFF8CBAD"/>
        </patternFill>
      </fill>
    </dxf>
    <dxf>
      <font>
        <b/>
        <i val="0"/>
        <color rgb="FF9C0006"/>
      </font>
    </dxf>
    <dxf>
      <font>
        <color rgb="FF9C6500"/>
      </font>
      <fill>
        <patternFill patternType="solid">
          <fgColor indexed="64"/>
          <bgColor rgb="FFFFEB9C"/>
        </patternFill>
      </fill>
    </dxf>
    <dxf>
      <font>
        <color rgb="FF9C0006"/>
      </font>
      <fill>
        <patternFill patternType="solid">
          <fgColor indexed="64"/>
          <bgColor rgb="FFFFC7CE"/>
        </patternFill>
      </fill>
    </dxf>
    <dxf>
      <font>
        <color rgb="FF9C0006"/>
      </font>
      <fill>
        <patternFill patternType="solid">
          <fgColor indexed="64"/>
          <bgColor rgb="FFFFC7CE"/>
        </patternFill>
      </fill>
    </dxf>
    <dxf>
      <font>
        <color rgb="FF006100"/>
      </font>
      <fill>
        <patternFill patternType="solid">
          <fgColor indexed="64"/>
          <bgColor rgb="FFC6EFCE"/>
        </patternFill>
      </fill>
    </dxf>
    <dxf>
      <font>
        <color rgb="FF006100"/>
      </font>
      <fill>
        <patternFill patternType="solid">
          <fgColor indexed="64"/>
          <bgColor rgb="FFC6EFCE"/>
        </patternFill>
      </fill>
    </dxf>
    <dxf>
      <font>
        <color rgb="FF9C5700"/>
      </font>
      <fill>
        <patternFill patternType="solid">
          <fgColor indexed="64"/>
          <bgColor rgb="FFFFEB9C"/>
        </patternFill>
      </fill>
    </dxf>
    <dxf>
      <font>
        <b/>
        <i val="0"/>
        <color rgb="FF9C0006"/>
      </font>
      <fill>
        <patternFill patternType="solid">
          <fgColor indexed="64"/>
          <bgColor rgb="FFF8CBAD"/>
        </patternFill>
      </fill>
    </dxf>
    <dxf>
      <font>
        <color rgb="FF006100"/>
      </font>
      <fill>
        <patternFill patternType="solid">
          <fgColor indexed="64"/>
          <bgColor rgb="FFC6EFCE"/>
        </patternFill>
      </fill>
    </dxf>
    <dxf>
      <font>
        <color rgb="FF9C5700"/>
      </font>
      <fill>
        <patternFill patternType="solid">
          <fgColor indexed="64"/>
          <bgColor rgb="FFFFEB9C"/>
        </patternFill>
      </fill>
    </dxf>
    <dxf>
      <font>
        <color rgb="FF9C0006"/>
      </font>
      <fill>
        <patternFill patternType="solid">
          <fgColor indexed="64"/>
          <bgColor rgb="FFF8CBAD"/>
        </patternFill>
      </fill>
    </dxf>
    <dxf>
      <font>
        <color rgb="FF9C0006"/>
      </font>
      <fill>
        <patternFill patternType="solid">
          <fgColor indexed="64"/>
          <bgColor rgb="FFFFC7CE"/>
        </patternFill>
      </fill>
    </dxf>
    <dxf>
      <font>
        <color rgb="FF006100"/>
      </font>
      <fill>
        <patternFill patternType="solid">
          <fgColor indexed="64"/>
          <bgColor rgb="FFC6EFCE"/>
        </patternFill>
      </fill>
    </dxf>
    <dxf>
      <font>
        <b/>
        <i val="0"/>
      </font>
      <fill>
        <patternFill patternType="solid">
          <fgColor indexed="64"/>
          <bgColor rgb="FFFFC7CE"/>
        </patternFill>
      </fill>
    </dxf>
    <dxf>
      <font>
        <b/>
        <i val="0"/>
      </font>
      <fill>
        <patternFill patternType="solid">
          <fgColor indexed="64"/>
          <bgColor rgb="FFE89B2C"/>
        </patternFill>
      </fill>
    </dxf>
    <dxf>
      <font>
        <b/>
        <i val="0"/>
        <color rgb="FFFFFFFF"/>
      </font>
    </dxf>
    <dxf>
      <fill>
        <patternFill patternType="solid">
          <fgColor indexed="64"/>
          <bgColor rgb="FFF2F2F2"/>
        </patternFill>
      </fill>
    </dxf>
    <dxf>
      <font>
        <color rgb="FFFFFFFF"/>
      </font>
    </dxf>
    <dxf>
      <fill>
        <patternFill patternType="solid">
          <fgColor indexed="64"/>
          <bgColor rgb="FFFFF2CC"/>
        </patternFill>
      </fill>
    </dxf>
    <dxf>
      <font>
        <color rgb="FF9C0006"/>
      </font>
    </dxf>
    <dxf>
      <font>
        <color rgb="FF006100"/>
      </font>
    </dxf>
    <dxf>
      <border outline="0">
        <top style="thin">
          <color rgb="FF000000"/>
        </top>
      </border>
    </dxf>
    <dxf>
      <border outline="0">
        <top style="medium">
          <color rgb="FF000000"/>
        </top>
        <bottom style="thin">
          <color rgb="FF000000"/>
        </bottom>
      </border>
    </dxf>
    <dxf>
      <border outline="0">
        <bottom style="thin">
          <color rgb="FF000000"/>
        </bottom>
      </border>
    </dxf>
    <dxf>
      <border outline="0">
        <top style="thin">
          <color indexed="64"/>
        </top>
      </border>
    </dxf>
    <dxf>
      <border outline="0">
        <top style="medium">
          <color indexed="64"/>
        </top>
        <bottom style="thin">
          <color indexed="64"/>
        </bottom>
      </border>
    </dxf>
    <dxf>
      <border outline="0">
        <bottom style="thin">
          <color indexed="64"/>
        </bottom>
      </border>
    </dxf>
    <dxf>
      <fill>
        <patternFill patternType="solid">
          <bgColor rgb="FFF1CB6F"/>
        </patternFill>
      </fill>
    </dxf>
    <dxf>
      <fill>
        <patternFill patternType="solid">
          <bgColor rgb="FFF1CB6F"/>
        </patternFill>
      </fill>
    </dxf>
    <dxf>
      <fill>
        <patternFill patternType="solid">
          <bgColor rgb="FFF1CB6F"/>
        </patternFill>
      </fill>
    </dxf>
    <dxf>
      <fill>
        <patternFill patternType="solid">
          <bgColor rgb="FFF1CB6F"/>
        </patternFill>
      </fill>
    </dxf>
    <dxf>
      <fill>
        <patternFill patternType="solid">
          <bgColor rgb="FFF1CB6F"/>
        </patternFill>
      </fill>
    </dxf>
    <dxf>
      <fill>
        <patternFill patternType="solid">
          <bgColor rgb="FFF1CB6F"/>
        </patternFill>
      </fill>
    </dxf>
    <dxf>
      <fill>
        <patternFill patternType="solid">
          <bgColor rgb="FFF1CB6F"/>
        </patternFill>
      </fill>
    </dxf>
    <dxf>
      <fill>
        <patternFill patternType="solid">
          <bgColor rgb="FFF1CB6F"/>
        </patternFill>
      </fill>
    </dxf>
    <dxf>
      <fill>
        <patternFill patternType="solid">
          <bgColor rgb="FFF1CB6F"/>
        </patternFill>
      </fill>
    </dxf>
    <dxf>
      <fill>
        <patternFill patternType="solid">
          <bgColor rgb="FFF1CB6F"/>
        </patternFill>
      </fill>
    </dxf>
  </dxfs>
  <tableStyles count="0" defaultTableStyle="TableStyleMedium2" defaultPivotStyle="PivotStyleLight16"/>
  <colors>
    <mruColors>
      <color rgb="FF9DB4D9"/>
      <color rgb="FFACD7CA"/>
      <color rgb="FFF1CB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1.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Diagramme de Pareto — C.A par produit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'7. Pareto - Graphique CA'!$B$1</c:f>
              <c:strCache>
                <c:ptCount val="1"/>
                <c:pt idx="0">
                  <c:v>C.A total (€)</c:v>
                </c:pt>
              </c:strCache>
            </c:strRef>
          </c:tx>
          <c:spPr>
            <a:solidFill>
              <a:srgbClr val="4472C4"/>
            </a:solidFill>
            <a:ln>
              <a:noFill/>
            </a:ln>
            <a:effectLst/>
          </c:spPr>
          <c:invertIfNegative val="0"/>
          <c:cat>
            <c:strRef>
              <c:f>'7. Pareto - Graphique CA'!$A$2:$A$17</c:f>
              <c:strCache>
                <c:ptCount val="6"/>
                <c:pt idx="0">
                  <c:v>Marmelade agrumes</c:v>
                </c:pt>
                <c:pt idx="1">
                  <c:v>Chutney carottes</c:v>
                </c:pt>
                <c:pt idx="2">
                  <c:v>Bolognaise</c:v>
                </c:pt>
                <c:pt idx="3">
                  <c:v>Coulis de tomate</c:v>
                </c:pt>
                <c:pt idx="4">
                  <c:v>Pickels légumes</c:v>
                </c:pt>
                <c:pt idx="5">
                  <c:v>Potage legume feuille</c:v>
                </c:pt>
              </c:strCache>
            </c:strRef>
          </c:cat>
          <c:val>
            <c:numRef>
              <c:f>'7. Pareto - Graphique CA'!$B$2:$B$17</c:f>
              <c:numCache>
                <c:formatCode>#,##0\ \€</c:formatCode>
                <c:ptCount val="16"/>
                <c:pt idx="0">
                  <c:v>93599.226415094337</c:v>
                </c:pt>
                <c:pt idx="1">
                  <c:v>14212.433962264151</c:v>
                </c:pt>
                <c:pt idx="2">
                  <c:v>11369.622641509435</c:v>
                </c:pt>
                <c:pt idx="3">
                  <c:v>9542.6226415094352</c:v>
                </c:pt>
                <c:pt idx="4">
                  <c:v>4872.8113207547176</c:v>
                </c:pt>
                <c:pt idx="5">
                  <c:v>3938.8490566037735</c:v>
                </c:pt>
                <c:pt idx="6">
                  <c:v>#N/A</c:v>
                </c:pt>
                <c:pt idx="7">
                  <c:v>#N/A</c:v>
                </c:pt>
                <c:pt idx="8">
                  <c:v>#N/A</c:v>
                </c:pt>
                <c:pt idx="9">
                  <c:v>#N/A</c:v>
                </c:pt>
                <c:pt idx="10">
                  <c:v>#N/A</c:v>
                </c:pt>
                <c:pt idx="11">
                  <c:v>#N/A</c:v>
                </c:pt>
                <c:pt idx="12">
                  <c:v>#N/A</c:v>
                </c:pt>
                <c:pt idx="13">
                  <c:v>#N/A</c:v>
                </c:pt>
                <c:pt idx="14">
                  <c:v>#N/A</c:v>
                </c:pt>
                <c:pt idx="15">
                  <c:v>#N/A</c:v>
                </c:pt>
              </c:numCache>
            </c:numRef>
          </c:val>
          <c:extLst>
            <c:ext xmlns:c16="http://schemas.microsoft.com/office/drawing/2014/chart" uri="{C3380CC4-5D6E-409C-BE32-E72D297353CC}">
              <c16:uniqueId val="{00000000-ED2F-4C53-AAC7-394E6E8F6ADC}"/>
            </c:ext>
          </c:extLst>
        </c:ser>
        <c:dLbls>
          <c:showLegendKey val="0"/>
          <c:showVal val="0"/>
          <c:showCatName val="0"/>
          <c:showSerName val="0"/>
          <c:showPercent val="0"/>
          <c:showBubbleSize val="0"/>
        </c:dLbls>
        <c:gapWidth val="219"/>
        <c:overlap val="-27"/>
        <c:axId val="1281589487"/>
        <c:axId val="1281587567"/>
      </c:barChart>
      <c:lineChart>
        <c:grouping val="standard"/>
        <c:varyColors val="0"/>
        <c:ser>
          <c:idx val="1"/>
          <c:order val="1"/>
          <c:tx>
            <c:strRef>
              <c:f>'7. Pareto - Graphique CA'!$C$1</c:f>
              <c:strCache>
                <c:ptCount val="1"/>
                <c:pt idx="0">
                  <c:v>% cumulé</c:v>
                </c:pt>
              </c:strCache>
            </c:strRef>
          </c:tx>
          <c:spPr>
            <a:ln w="28575" cap="rnd">
              <a:solidFill>
                <a:srgbClr val="ED7D31"/>
              </a:solidFill>
              <a:prstDash val="solid"/>
              <a:round/>
            </a:ln>
            <a:effectLst/>
          </c:spPr>
          <c:marker>
            <c:symbol val="circle"/>
            <c:size val="7"/>
            <c:spPr>
              <a:solidFill>
                <a:srgbClr val="ED7D31"/>
              </a:solidFill>
              <a:ln w="9525">
                <a:solidFill>
                  <a:srgbClr val="ED7D31"/>
                </a:solidFill>
                <a:prstDash val="solid"/>
              </a:ln>
              <a:effectLst/>
            </c:spPr>
          </c:marker>
          <c:cat>
            <c:strRef>
              <c:f>'7. Pareto - Graphique CA'!$A$2:$A$17</c:f>
              <c:strCache>
                <c:ptCount val="6"/>
                <c:pt idx="0">
                  <c:v>Marmelade agrumes</c:v>
                </c:pt>
                <c:pt idx="1">
                  <c:v>Chutney carottes</c:v>
                </c:pt>
                <c:pt idx="2">
                  <c:v>Bolognaise</c:v>
                </c:pt>
                <c:pt idx="3">
                  <c:v>Coulis de tomate</c:v>
                </c:pt>
                <c:pt idx="4">
                  <c:v>Pickels légumes</c:v>
                </c:pt>
                <c:pt idx="5">
                  <c:v>Potage legume feuille</c:v>
                </c:pt>
              </c:strCache>
            </c:strRef>
          </c:cat>
          <c:val>
            <c:numRef>
              <c:f>'7. Pareto - Graphique CA'!$C$2:$C$17</c:f>
              <c:numCache>
                <c:formatCode>0.0%</c:formatCode>
                <c:ptCount val="16"/>
                <c:pt idx="0">
                  <c:v>0.68054561530225122</c:v>
                </c:pt>
                <c:pt idx="1">
                  <c:v>0.78388204217502577</c:v>
                </c:pt>
                <c:pt idx="2">
                  <c:v>0.86654882407775147</c:v>
                </c:pt>
                <c:pt idx="3">
                  <c:v>0.93593176927820387</c:v>
                </c:pt>
                <c:pt idx="4">
                  <c:v>0.97136123280633413</c:v>
                </c:pt>
                <c:pt idx="5">
                  <c:v>1</c:v>
                </c:pt>
                <c:pt idx="6">
                  <c:v>#N/A</c:v>
                </c:pt>
                <c:pt idx="7">
                  <c:v>#N/A</c:v>
                </c:pt>
                <c:pt idx="8">
                  <c:v>#N/A</c:v>
                </c:pt>
                <c:pt idx="9">
                  <c:v>#N/A</c:v>
                </c:pt>
                <c:pt idx="10">
                  <c:v>#N/A</c:v>
                </c:pt>
                <c:pt idx="11">
                  <c:v>#N/A</c:v>
                </c:pt>
                <c:pt idx="12">
                  <c:v>#N/A</c:v>
                </c:pt>
                <c:pt idx="13">
                  <c:v>#N/A</c:v>
                </c:pt>
                <c:pt idx="14">
                  <c:v>#N/A</c:v>
                </c:pt>
                <c:pt idx="15">
                  <c:v>#N/A</c:v>
                </c:pt>
              </c:numCache>
            </c:numRef>
          </c:val>
          <c:smooth val="0"/>
          <c:extLst>
            <c:ext xmlns:c16="http://schemas.microsoft.com/office/drawing/2014/chart" uri="{C3380CC4-5D6E-409C-BE32-E72D297353CC}">
              <c16:uniqueId val="{00000001-ED2F-4C53-AAC7-394E6E8F6ADC}"/>
            </c:ext>
          </c:extLst>
        </c:ser>
        <c:dLbls>
          <c:showLegendKey val="0"/>
          <c:showVal val="0"/>
          <c:showCatName val="0"/>
          <c:showSerName val="0"/>
          <c:showPercent val="0"/>
          <c:showBubbleSize val="0"/>
        </c:dLbls>
        <c:marker val="1"/>
        <c:smooth val="0"/>
        <c:axId val="2024299231"/>
        <c:axId val="2024297791"/>
      </c:lineChart>
      <c:catAx>
        <c:axId val="1281589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81587567"/>
        <c:crosses val="autoZero"/>
        <c:auto val="1"/>
        <c:lblAlgn val="ctr"/>
        <c:lblOffset val="100"/>
        <c:noMultiLvlLbl val="0"/>
      </c:catAx>
      <c:valAx>
        <c:axId val="1281587567"/>
        <c:scaling>
          <c:orientation val="minMax"/>
        </c:scaling>
        <c:delete val="0"/>
        <c:axPos val="l"/>
        <c:majorGridlines>
          <c:spPr>
            <a:ln w="9525" cap="flat" cmpd="sng" algn="ctr">
              <a:solidFill>
                <a:schemeClr val="tx1">
                  <a:lumMod val="15000"/>
                  <a:lumOff val="85000"/>
                </a:schemeClr>
              </a:solidFill>
              <a:round/>
            </a:ln>
            <a:effectLst/>
          </c:spPr>
        </c:majorGridlines>
        <c:numFmt formatCode="#,##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81589487"/>
        <c:crosses val="autoZero"/>
        <c:crossBetween val="between"/>
      </c:valAx>
      <c:valAx>
        <c:axId val="2024297791"/>
        <c:scaling>
          <c:orientation val="minMax"/>
          <c:max val="1"/>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24299231"/>
        <c:crosses val="max"/>
        <c:crossBetween val="between"/>
      </c:valAx>
      <c:catAx>
        <c:axId val="2024299231"/>
        <c:scaling>
          <c:orientation val="minMax"/>
        </c:scaling>
        <c:delete val="1"/>
        <c:axPos val="b"/>
        <c:numFmt formatCode="General" sourceLinked="1"/>
        <c:majorTickMark val="out"/>
        <c:minorTickMark val="none"/>
        <c:tickLblPos val="nextTo"/>
        <c:crossAx val="20242977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Matrice Menu Engineering — % MB vs C.A</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scatterChart>
        <c:scatterStyle val="lineMarker"/>
        <c:varyColors val="0"/>
        <c:ser>
          <c:idx val="0"/>
          <c:order val="0"/>
          <c:tx>
            <c:v>Produits</c:v>
          </c:tx>
          <c:spPr>
            <a:ln w="38100" cap="rnd">
              <a:noFill/>
              <a:round/>
            </a:ln>
            <a:effectLst/>
          </c:spPr>
          <c:marker>
            <c:symbol val="circle"/>
            <c:size val="10"/>
            <c:spPr>
              <a:solidFill>
                <a:srgbClr val="4472C4"/>
              </a:solidFill>
              <a:ln w="9525">
                <a:solidFill>
                  <a:srgbClr val="1F4E78"/>
                </a:solidFill>
                <a:prstDash val="solid"/>
              </a:ln>
              <a:effectLst/>
            </c:spPr>
          </c:marker>
          <c:dLbls>
            <c:dLbl>
              <c:idx val="0"/>
              <c:tx>
                <c:strRef>
                  <c:f>'8. Matrice MENU ENGINEERING'!$B$2</c:f>
                  <c:strCache>
                    <c:ptCount val="1"/>
                    <c:pt idx="0">
                      <c:v>Marmelade agrumes</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{7B2F58BE-AB1F-4EBB-9CF7-A8A28CA077BB}</c15:txfldGUID>
                      <c15:f>'8. Matrice MENU ENGINEERING'!$B$2</c15:f>
                      <c15:dlblFieldTableCache>
                        <c:ptCount val="1"/>
                        <c:pt idx="0">
                          <c:v>Marmelade agrumes</c:v>
                        </c:pt>
                      </c15:dlblFieldTableCache>
                    </c15:dlblFTEntry>
                  </c15:dlblFieldTable>
                  <c15:showDataLabelsRange val="0"/>
                </c:ext>
                <c:ext xmlns:c16="http://schemas.microsoft.com/office/drawing/2014/chart" uri="{C3380CC4-5D6E-409C-BE32-E72D297353CC}">
                  <c16:uniqueId val="{00000003-77C7-4DBB-83F1-B79C44280936}"/>
                </c:ext>
              </c:extLst>
            </c:dLbl>
            <c:dLbl>
              <c:idx val="1"/>
              <c:tx>
                <c:strRef>
                  <c:f>'8. Matrice MENU ENGINEERING'!$B$3</c:f>
                  <c:strCache>
                    <c:ptCount val="1"/>
                    <c:pt idx="0">
                      <c:v>Chutney carottes</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{CE40C7D0-BB64-4E9C-8D72-795879F85C3B}</c15:txfldGUID>
                      <c15:f>'8. Matrice MENU ENGINEERING'!$B$3</c15:f>
                      <c15:dlblFieldTableCache>
                        <c:ptCount val="1"/>
                        <c:pt idx="0">
                          <c:v>Chutney carottes</c:v>
                        </c:pt>
                      </c15:dlblFieldTableCache>
                    </c15:dlblFTEntry>
                  </c15:dlblFieldTable>
                  <c15:showDataLabelsRange val="0"/>
                </c:ext>
                <c:ext xmlns:c16="http://schemas.microsoft.com/office/drawing/2014/chart" uri="{C3380CC4-5D6E-409C-BE32-E72D297353CC}">
                  <c16:uniqueId val="{00000004-77C7-4DBB-83F1-B79C44280936}"/>
                </c:ext>
              </c:extLst>
            </c:dLbl>
            <c:dLbl>
              <c:idx val="2"/>
              <c:tx>
                <c:strRef>
                  <c:f>'8. Matrice MENU ENGINEERING'!$B$4</c:f>
                  <c:strCache>
                    <c:ptCount val="1"/>
                    <c:pt idx="0">
                      <c:v>Bolognaise</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{E4330329-5144-466A-8C4C-CA8C054BEF79}</c15:txfldGUID>
                      <c15:f>'8. Matrice MENU ENGINEERING'!$B$4</c15:f>
                      <c15:dlblFieldTableCache>
                        <c:ptCount val="1"/>
                        <c:pt idx="0">
                          <c:v>Bolognaise</c:v>
                        </c:pt>
                      </c15:dlblFieldTableCache>
                    </c15:dlblFTEntry>
                  </c15:dlblFieldTable>
                  <c15:showDataLabelsRange val="0"/>
                </c:ext>
                <c:ext xmlns:c16="http://schemas.microsoft.com/office/drawing/2014/chart" uri="{C3380CC4-5D6E-409C-BE32-E72D297353CC}">
                  <c16:uniqueId val="{00000005-77C7-4DBB-83F1-B79C44280936}"/>
                </c:ext>
              </c:extLst>
            </c:dLbl>
            <c:dLbl>
              <c:idx val="3"/>
              <c:tx>
                <c:strRef>
                  <c:f>'8. Matrice MENU ENGINEERING'!$B$5</c:f>
                  <c:strCache>
                    <c:ptCount val="1"/>
                    <c:pt idx="0">
                      <c:v>Coulis de tomate</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{FBB61E2A-B403-4795-95D6-C7E2E27806AC}</c15:txfldGUID>
                      <c15:f>'8. Matrice MENU ENGINEERING'!$B$5</c15:f>
                      <c15:dlblFieldTableCache>
                        <c:ptCount val="1"/>
                        <c:pt idx="0">
                          <c:v>Coulis de tomate</c:v>
                        </c:pt>
                      </c15:dlblFieldTableCache>
                    </c15:dlblFTEntry>
                  </c15:dlblFieldTable>
                  <c15:showDataLabelsRange val="0"/>
                </c:ext>
                <c:ext xmlns:c16="http://schemas.microsoft.com/office/drawing/2014/chart" uri="{C3380CC4-5D6E-409C-BE32-E72D297353CC}">
                  <c16:uniqueId val="{00000006-77C7-4DBB-83F1-B79C44280936}"/>
                </c:ext>
              </c:extLst>
            </c:dLbl>
            <c:dLbl>
              <c:idx val="4"/>
              <c:tx>
                <c:strRef>
                  <c:f>'8. Matrice MENU ENGINEERING'!$B$6</c:f>
                  <c:strCache>
                    <c:ptCount val="1"/>
                    <c:pt idx="0">
                      <c:v>Pickels légumes</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{EC17544D-4088-4E2B-A962-8DDC3A1C7DEB}</c15:txfldGUID>
                      <c15:f>'8. Matrice MENU ENGINEERING'!$B$6</c15:f>
                      <c15:dlblFieldTableCache>
                        <c:ptCount val="1"/>
                        <c:pt idx="0">
                          <c:v>Pickels légumes</c:v>
                        </c:pt>
                      </c15:dlblFieldTableCache>
                    </c15:dlblFTEntry>
                  </c15:dlblFieldTable>
                  <c15:showDataLabelsRange val="0"/>
                </c:ext>
                <c:ext xmlns:c16="http://schemas.microsoft.com/office/drawing/2014/chart" uri="{C3380CC4-5D6E-409C-BE32-E72D297353CC}">
                  <c16:uniqueId val="{00000007-77C7-4DBB-83F1-B79C44280936}"/>
                </c:ext>
              </c:extLst>
            </c:dLbl>
            <c:dLbl>
              <c:idx val="5"/>
              <c:tx>
                <c:strRef>
                  <c:f>'8. Matrice MENU ENGINEERING'!$B$7</c:f>
                  <c:strCache>
                    <c:ptCount val="1"/>
                    <c:pt idx="0">
                      <c:v>Potage legume feuille</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{5D189690-F000-4F5B-8E7C-696E1BDE72DE}</c15:txfldGUID>
                      <c15:f>'8. Matrice MENU ENGINEERING'!$B$7</c15:f>
                      <c15:dlblFieldTableCache>
                        <c:ptCount val="1"/>
                        <c:pt idx="0">
                          <c:v>Potage legume feuille</c:v>
                        </c:pt>
                      </c15:dlblFieldTableCache>
                    </c15:dlblFTEntry>
                  </c15:dlblFieldTable>
                  <c15:showDataLabelsRange val="0"/>
                </c:ext>
                <c:ext xmlns:c16="http://schemas.microsoft.com/office/drawing/2014/chart" uri="{C3380CC4-5D6E-409C-BE32-E72D297353CC}">
                  <c16:uniqueId val="{00000008-77C7-4DBB-83F1-B79C44280936}"/>
                </c:ext>
              </c:extLst>
            </c:dLbl>
            <c:dLbl>
              <c:idx val="6"/>
              <c:tx>
                <c:strRef>
                  <c:f>'8. Matrice MENU ENGINEERING'!$B$8</c:f>
                  <c:strCache>
                    <c:ptCount val="1"/>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{D29FF36E-2B63-4EFE-9025-01CEB9B0C61F}</c15:txfldGUID>
                      <c15:f>'8. Matrice MENU ENGINEERING'!$B$8</c15:f>
                      <c15:dlblFieldTableCache>
                        <c:ptCount val="1"/>
                      </c15:dlblFieldTableCache>
                    </c15:dlblFTEntry>
                  </c15:dlblFieldTable>
                  <c15:showDataLabelsRange val="0"/>
                </c:ext>
                <c:ext xmlns:c16="http://schemas.microsoft.com/office/drawing/2014/chart" uri="{C3380CC4-5D6E-409C-BE32-E72D297353CC}">
                  <c16:uniqueId val="{00000000-8736-4F2F-B05C-DE3F441A8D4D}"/>
                </c:ext>
              </c:extLst>
            </c:dLbl>
            <c:dLbl>
              <c:idx val="7"/>
              <c:tx>
                <c:strRef>
                  <c:f>'8. Matrice MENU ENGINEERING'!$B$9</c:f>
                  <c:strCache>
                    <c:ptCount val="1"/>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{4FB59B46-98F9-4896-A886-BB2631087B6C}</c15:txfldGUID>
                      <c15:f>'8. Matrice MENU ENGINEERING'!$B$9</c15:f>
                      <c15:dlblFieldTableCache>
                        <c:ptCount val="1"/>
                      </c15:dlblFieldTableCache>
                    </c15:dlblFTEntry>
                  </c15:dlblFieldTable>
                  <c15:showDataLabelsRange val="0"/>
                </c:ext>
                <c:ext xmlns:c16="http://schemas.microsoft.com/office/drawing/2014/chart" uri="{C3380CC4-5D6E-409C-BE32-E72D297353CC}">
                  <c16:uniqueId val="{00000001-8736-4F2F-B05C-DE3F441A8D4D}"/>
                </c:ext>
              </c:extLst>
            </c:dLbl>
            <c:dLbl>
              <c:idx val="8"/>
              <c:tx>
                <c:strRef>
                  <c:f>'8. Matrice MENU ENGINEERING'!$B$10</c:f>
                  <c:strCache>
                    <c:ptCount val="1"/>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{3F0F8CB7-0385-4BD6-A753-6BFF50188354}</c15:txfldGUID>
                      <c15:f>'8. Matrice MENU ENGINEERING'!$B$10</c15:f>
                      <c15:dlblFieldTableCache>
                        <c:ptCount val="1"/>
                      </c15:dlblFieldTableCache>
                    </c15:dlblFTEntry>
                  </c15:dlblFieldTable>
                  <c15:showDataLabelsRange val="0"/>
                </c:ext>
                <c:ext xmlns:c16="http://schemas.microsoft.com/office/drawing/2014/chart" uri="{C3380CC4-5D6E-409C-BE32-E72D297353CC}">
                  <c16:uniqueId val="{00000002-8736-4F2F-B05C-DE3F441A8D4D}"/>
                </c:ext>
              </c:extLst>
            </c:dLbl>
            <c:dLbl>
              <c:idx val="9"/>
              <c:tx>
                <c:strRef>
                  <c:f>'8. Matrice MENU ENGINEERING'!$B$11</c:f>
                  <c:strCache>
                    <c:ptCount val="1"/>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{F2ED23FA-1C67-471F-9239-8B0726548F55}</c15:txfldGUID>
                      <c15:f>'8. Matrice MENU ENGINEERING'!$B$11</c15:f>
                      <c15:dlblFieldTableCache>
                        <c:ptCount val="1"/>
                      </c15:dlblFieldTableCache>
                    </c15:dlblFTEntry>
                  </c15:dlblFieldTable>
                  <c15:showDataLabelsRange val="0"/>
                </c:ext>
                <c:ext xmlns:c16="http://schemas.microsoft.com/office/drawing/2014/chart" uri="{C3380CC4-5D6E-409C-BE32-E72D297353CC}">
                  <c16:uniqueId val="{00000003-8736-4F2F-B05C-DE3F441A8D4D}"/>
                </c:ext>
              </c:extLst>
            </c:dLbl>
            <c:dLbl>
              <c:idx val="10"/>
              <c:tx>
                <c:strRef>
                  <c:f>'8. Matrice MENU ENGINEERING'!$B$12</c:f>
                  <c:strCache>
                    <c:ptCount val="1"/>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{4DFCB776-38F8-492F-9D63-5C986D53D07A}</c15:txfldGUID>
                      <c15:f>'8. Matrice MENU ENGINEERING'!$B$12</c15:f>
                      <c15:dlblFieldTableCache>
                        <c:ptCount val="1"/>
                      </c15:dlblFieldTableCache>
                    </c15:dlblFTEntry>
                  </c15:dlblFieldTable>
                  <c15:showDataLabelsRange val="0"/>
                </c:ext>
                <c:ext xmlns:c16="http://schemas.microsoft.com/office/drawing/2014/chart" uri="{C3380CC4-5D6E-409C-BE32-E72D297353CC}">
                  <c16:uniqueId val="{00000004-8736-4F2F-B05C-DE3F441A8D4D}"/>
                </c:ext>
              </c:extLst>
            </c:dLbl>
            <c:dLbl>
              <c:idx val="11"/>
              <c:tx>
                <c:strRef>
                  <c:f>'8. Matrice MENU ENGINEERING'!$B$13</c:f>
                  <c:strCache>
                    <c:ptCount val="1"/>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{91509D0D-E699-462F-BC7E-904EC02621A9}</c15:txfldGUID>
                      <c15:f>'8. Matrice MENU ENGINEERING'!$B$13</c15:f>
                      <c15:dlblFieldTableCache>
                        <c:ptCount val="1"/>
                      </c15:dlblFieldTableCache>
                    </c15:dlblFTEntry>
                  </c15:dlblFieldTable>
                  <c15:showDataLabelsRange val="0"/>
                </c:ext>
                <c:ext xmlns:c16="http://schemas.microsoft.com/office/drawing/2014/chart" uri="{C3380CC4-5D6E-409C-BE32-E72D297353CC}">
                  <c16:uniqueId val="{00000005-8736-4F2F-B05C-DE3F441A8D4D}"/>
                </c:ext>
              </c:extLst>
            </c:dLbl>
            <c:dLbl>
              <c:idx val="12"/>
              <c:tx>
                <c:strRef>
                  <c:f>'8. Matrice MENU ENGINEERING'!$B$14</c:f>
                  <c:strCache>
                    <c:ptCount val="1"/>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{493C7EA9-1554-4F2D-850A-C331CF1551BE}</c15:txfldGUID>
                      <c15:f>'8. Matrice MENU ENGINEERING'!$B$14</c15:f>
                      <c15:dlblFieldTableCache>
                        <c:ptCount val="1"/>
                      </c15:dlblFieldTableCache>
                    </c15:dlblFTEntry>
                  </c15:dlblFieldTable>
                  <c15:showDataLabelsRange val="0"/>
                </c:ext>
                <c:ext xmlns:c16="http://schemas.microsoft.com/office/drawing/2014/chart" uri="{C3380CC4-5D6E-409C-BE32-E72D297353CC}">
                  <c16:uniqueId val="{00000006-8736-4F2F-B05C-DE3F441A8D4D}"/>
                </c:ext>
              </c:extLst>
            </c:dLbl>
            <c:dLbl>
              <c:idx val="13"/>
              <c:tx>
                <c:strRef>
                  <c:f>'8. Matrice MENU ENGINEERING'!$B$15</c:f>
                  <c:strCache>
                    <c:ptCount val="1"/>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{866B0A3A-2507-4C0C-98D2-5CAFBC1A8938}</c15:txfldGUID>
                      <c15:f>'8. Matrice MENU ENGINEERING'!$B$15</c15:f>
                      <c15:dlblFieldTableCache>
                        <c:ptCount val="1"/>
                      </c15:dlblFieldTableCache>
                    </c15:dlblFTEntry>
                  </c15:dlblFieldTable>
                  <c15:showDataLabelsRange val="0"/>
                </c:ext>
                <c:ext xmlns:c16="http://schemas.microsoft.com/office/drawing/2014/chart" uri="{C3380CC4-5D6E-409C-BE32-E72D297353CC}">
                  <c16:uniqueId val="{00000007-8736-4F2F-B05C-DE3F441A8D4D}"/>
                </c:ext>
              </c:extLst>
            </c:dLbl>
            <c:dLbl>
              <c:idx val="14"/>
              <c:tx>
                <c:strRef>
                  <c:f>'8. Matrice MENU ENGINEERING'!$B$16</c:f>
                  <c:strCache>
                    <c:ptCount val="1"/>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{8C2EF4A3-4B67-415B-9DEA-F956DF2A3383}</c15:txfldGUID>
                      <c15:f>'8. Matrice MENU ENGINEERING'!$B$16</c15:f>
                      <c15:dlblFieldTableCache>
                        <c:ptCount val="1"/>
                      </c15:dlblFieldTableCache>
                    </c15:dlblFTEntry>
                  </c15:dlblFieldTable>
                  <c15:showDataLabelsRange val="0"/>
                </c:ext>
                <c:ext xmlns:c16="http://schemas.microsoft.com/office/drawing/2014/chart" uri="{C3380CC4-5D6E-409C-BE32-E72D297353CC}">
                  <c16:uniqueId val="{00000008-8736-4F2F-B05C-DE3F441A8D4D}"/>
                </c:ext>
              </c:extLst>
            </c:dLbl>
            <c:dLbl>
              <c:idx val="15"/>
              <c:tx>
                <c:strRef>
                  <c:f>'8. Matrice MENU ENGINEERING'!$B$17</c:f>
                  <c:strCache>
                    <c:ptCount val="1"/>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{06802A62-355A-48B5-BBC7-A8673955F593}</c15:txfldGUID>
                      <c15:f>'8. Matrice MENU ENGINEERING'!$B$17</c15:f>
                      <c15:dlblFieldTableCache>
                        <c:ptCount val="1"/>
                      </c15:dlblFieldTableCache>
                    </c15:dlblFTEntry>
                  </c15:dlblFieldTable>
                  <c15:showDataLabelsRange val="0"/>
                </c:ext>
                <c:ext xmlns:c16="http://schemas.microsoft.com/office/drawing/2014/chart" uri="{C3380CC4-5D6E-409C-BE32-E72D297353CC}">
                  <c16:uniqueId val="{00000009-8736-4F2F-B05C-DE3F441A8D4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'8. Matrice MENU ENGINEERING'!$C$2:$C$17</c:f>
              <c:numCache>
                <c:formatCode>#,##0\ \€</c:formatCode>
                <c:ptCount val="16"/>
                <c:pt idx="0">
                  <c:v>93599.226415094337</c:v>
                </c:pt>
                <c:pt idx="1">
                  <c:v>14212.433962264151</c:v>
                </c:pt>
                <c:pt idx="2">
                  <c:v>11369.622641509435</c:v>
                </c:pt>
                <c:pt idx="3">
                  <c:v>9542.6226415094352</c:v>
                </c:pt>
                <c:pt idx="4">
                  <c:v>4872.8113207547176</c:v>
                </c:pt>
                <c:pt idx="5">
                  <c:v>3938.8490566037735</c:v>
                </c:pt>
                <c:pt idx="6">
                  <c:v>#N/A</c:v>
                </c:pt>
                <c:pt idx="7">
                  <c:v>#N/A</c:v>
                </c:pt>
                <c:pt idx="8">
                  <c:v>#N/A</c:v>
                </c:pt>
                <c:pt idx="9">
                  <c:v>#N/A</c:v>
                </c:pt>
                <c:pt idx="10">
                  <c:v>#N/A</c:v>
                </c:pt>
                <c:pt idx="11">
                  <c:v>#N/A</c:v>
                </c:pt>
                <c:pt idx="12">
                  <c:v>#N/A</c:v>
                </c:pt>
                <c:pt idx="13">
                  <c:v>#N/A</c:v>
                </c:pt>
                <c:pt idx="14">
                  <c:v>#N/A</c:v>
                </c:pt>
                <c:pt idx="15">
                  <c:v>#N/A</c:v>
                </c:pt>
              </c:numCache>
            </c:numRef>
          </c:xVal>
          <c:yVal>
            <c:numRef>
              <c:f>'8. Matrice MENU ENGINEERING'!$D$2:$D$17</c:f>
              <c:numCache>
                <c:formatCode>0.0%</c:formatCode>
                <c:ptCount val="16"/>
                <c:pt idx="0">
                  <c:v>0.7489054246358493</c:v>
                </c:pt>
                <c:pt idx="1">
                  <c:v>0.74844868478910387</c:v>
                </c:pt>
                <c:pt idx="2">
                  <c:v>0.74225564000582678</c:v>
                </c:pt>
                <c:pt idx="3">
                  <c:v>0.74818515817041531</c:v>
                </c:pt>
                <c:pt idx="4">
                  <c:v>0.74741653520948614</c:v>
                </c:pt>
                <c:pt idx="5">
                  <c:v>0.74704410769249607</c:v>
                </c:pt>
                <c:pt idx="6">
                  <c:v>#N/A</c:v>
                </c:pt>
                <c:pt idx="7">
                  <c:v>#N/A</c:v>
                </c:pt>
                <c:pt idx="8">
                  <c:v>#N/A</c:v>
                </c:pt>
                <c:pt idx="9">
                  <c:v>#N/A</c:v>
                </c:pt>
                <c:pt idx="10">
                  <c:v>#N/A</c:v>
                </c:pt>
                <c:pt idx="11">
                  <c:v>#N/A</c:v>
                </c:pt>
                <c:pt idx="12">
                  <c:v>#N/A</c:v>
                </c:pt>
                <c:pt idx="13">
                  <c:v>#N/A</c:v>
                </c:pt>
                <c:pt idx="14">
                  <c:v>#N/A</c:v>
                </c:pt>
                <c:pt idx="15">
                  <c:v>#N/A</c:v>
                </c:pt>
              </c:numCache>
            </c:numRef>
          </c:yVal>
          <c:smooth val="0"/>
          <c:extLst>
            <c:ext xmlns:c16="http://schemas.microsoft.com/office/drawing/2014/chart" uri="{C3380CC4-5D6E-409C-BE32-E72D297353CC}">
              <c16:uniqueId val="{00000000-77C7-4DBB-83F1-B79C44280936}"/>
            </c:ext>
          </c:extLst>
        </c:ser>
        <c:ser>
          <c:idx val="1"/>
          <c:order val="1"/>
          <c:tx>
            <c:v>Moyenne CA</c:v>
          </c:tx>
          <c:spPr>
            <a:ln w="19050" cap="rnd">
              <a:solidFill>
                <a:srgbClr val="C00000"/>
              </a:solidFill>
              <a:prstDash val="solid"/>
              <a:round/>
            </a:ln>
            <a:effectLst/>
          </c:spPr>
          <c:marker>
            <c:symbol val="none"/>
          </c:marker>
          <c:xVal>
            <c:numRef>
              <c:f>'8. Matrice MENU ENGINEERING'!$F$2:$F$3</c:f>
              <c:numCache>
                <c:formatCode>General</c:formatCode>
                <c:ptCount val="2"/>
                <c:pt idx="0">
                  <c:v>22922.594339622639</c:v>
                </c:pt>
                <c:pt idx="1">
                  <c:v>22922.594339622639</c:v>
                </c:pt>
              </c:numCache>
            </c:numRef>
          </c:xVal>
          <c:yVal>
            <c:numRef>
              <c:f>'8. Matrice MENU ENGINEERING'!$G$2:$G$3</c:f>
              <c:numCache>
                <c:formatCode>General</c:formatCode>
                <c:ptCount val="2"/>
                <c:pt idx="0">
                  <c:v>0.74225564000582678</c:v>
                </c:pt>
                <c:pt idx="1">
                  <c:v>0.7489054246358493</c:v>
                </c:pt>
              </c:numCache>
            </c:numRef>
          </c:yVal>
          <c:smooth val="0"/>
          <c:extLst>
            <c:ext xmlns:c16="http://schemas.microsoft.com/office/drawing/2014/chart" uri="{C3380CC4-5D6E-409C-BE32-E72D297353CC}">
              <c16:uniqueId val="{00000001-77C7-4DBB-83F1-B79C44280936}"/>
            </c:ext>
          </c:extLst>
        </c:ser>
        <c:ser>
          <c:idx val="2"/>
          <c:order val="2"/>
          <c:tx>
            <c:v>Moyenne %MB</c:v>
          </c:tx>
          <c:spPr>
            <a:ln w="19050" cap="rnd">
              <a:solidFill>
                <a:srgbClr val="C00000"/>
              </a:solidFill>
              <a:prstDash val="solid"/>
              <a:round/>
            </a:ln>
            <a:effectLst/>
          </c:spPr>
          <c:marker>
            <c:symbol val="none"/>
          </c:marker>
          <c:xVal>
            <c:numRef>
              <c:f>'8. Matrice MENU ENGINEERING'!$F$6:$F$7</c:f>
              <c:numCache>
                <c:formatCode>General</c:formatCode>
                <c:ptCount val="2"/>
                <c:pt idx="0">
                  <c:v>3938.8490566037735</c:v>
                </c:pt>
                <c:pt idx="1">
                  <c:v>93599.226415094337</c:v>
                </c:pt>
              </c:numCache>
            </c:numRef>
          </c:xVal>
          <c:yVal>
            <c:numRef>
              <c:f>'8. Matrice MENU ENGINEERING'!$G$6:$G$7</c:f>
              <c:numCache>
                <c:formatCode>General</c:formatCode>
                <c:ptCount val="2"/>
                <c:pt idx="0">
                  <c:v>0.74704259175052956</c:v>
                </c:pt>
                <c:pt idx="1">
                  <c:v>0.74704259175052956</c:v>
                </c:pt>
              </c:numCache>
            </c:numRef>
          </c:yVal>
          <c:smooth val="0"/>
          <c:extLst>
            <c:ext xmlns:c16="http://schemas.microsoft.com/office/drawing/2014/chart" uri="{C3380CC4-5D6E-409C-BE32-E72D297353CC}">
              <c16:uniqueId val="{00000002-77C7-4DBB-83F1-B79C44280936}"/>
            </c:ext>
          </c:extLst>
        </c:ser>
        <c:dLbls>
          <c:showLegendKey val="0"/>
          <c:showVal val="0"/>
          <c:showCatName val="0"/>
          <c:showSerName val="0"/>
          <c:showPercent val="0"/>
          <c:showBubbleSize val="0"/>
        </c:dLbls>
        <c:axId val="2084550751"/>
        <c:axId val="2084553631"/>
      </c:scatterChart>
      <c:valAx>
        <c:axId val="208455075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BE"/>
                  <a:t>Chiffre d'affaires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84553631"/>
        <c:crosses val="autoZero"/>
        <c:crossBetween val="midCat"/>
      </c:valAx>
      <c:valAx>
        <c:axId val="20845536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BE"/>
                  <a:t>% Marge Brute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84550751"/>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251908</xdr:colOff>
      <xdr:row>1</xdr:row>
      <xdr:rowOff>52781</xdr:rowOff>
    </xdr:from>
    <xdr:to>
      <xdr:col>1</xdr:col>
      <xdr:colOff>169372</xdr:colOff>
      <xdr:row>2</xdr:row>
      <xdr:rowOff>134920</xdr:rowOff>
    </xdr:to>
    <xdr:pic>
      <xdr:nvPicPr>
        <xdr:cNvPr id="3" name="Image 1">
          <a:extLst>
            <a:ext uri="{FF2B5EF4-FFF2-40B4-BE49-F238E27FC236}">
              <a16:creationId xmlns:a16="http://schemas.microsoft.com/office/drawing/2014/main" id="{9B4C49A1-C362-4309-8137-02BE783A6A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1908" y="220869"/>
          <a:ext cx="789954" cy="2593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19</xdr:row>
      <xdr:rowOff>0</xdr:rowOff>
    </xdr:from>
    <xdr:to>
      <xdr:col>9</xdr:col>
      <xdr:colOff>0</xdr:colOff>
      <xdr:row>19</xdr:row>
      <xdr:rowOff>0</xdr:rowOff>
    </xdr:to>
    <xdr:sp macro="" textlink="">
      <xdr:nvSpPr>
        <xdr:cNvPr id="2" name="Text Box 17">
          <a:extLst>
            <a:ext uri="{FF2B5EF4-FFF2-40B4-BE49-F238E27FC236}">
              <a16:creationId xmlns:a16="http://schemas.microsoft.com/office/drawing/2014/main" id="{5B8D7936-A3D1-49F2-B592-D4DDBFA2F131}"/>
            </a:ext>
          </a:extLst>
        </xdr:cNvPr>
        <xdr:cNvSpPr txBox="1">
          <a:spLocks noChangeAspect="1" noChangeArrowheads="1"/>
        </xdr:cNvSpPr>
      </xdr:nvSpPr>
      <xdr:spPr bwMode="auto">
        <a:xfrm>
          <a:off x="15240" y="3362325"/>
          <a:ext cx="1405318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19050</xdr:colOff>
      <xdr:row>19</xdr:row>
      <xdr:rowOff>0</xdr:rowOff>
    </xdr:from>
    <xdr:to>
      <xdr:col>9</xdr:col>
      <xdr:colOff>0</xdr:colOff>
      <xdr:row>19</xdr:row>
      <xdr:rowOff>0</xdr:rowOff>
    </xdr:to>
    <xdr:sp macro="" textlink="">
      <xdr:nvSpPr>
        <xdr:cNvPr id="3" name="Text Box 18">
          <a:extLst>
            <a:ext uri="{FF2B5EF4-FFF2-40B4-BE49-F238E27FC236}">
              <a16:creationId xmlns:a16="http://schemas.microsoft.com/office/drawing/2014/main" id="{4BEEF013-C0E0-4FF5-86BE-DA429C5EAB71}"/>
            </a:ext>
          </a:extLst>
        </xdr:cNvPr>
        <xdr:cNvSpPr txBox="1">
          <a:spLocks noChangeAspect="1" noChangeArrowheads="1"/>
        </xdr:cNvSpPr>
      </xdr:nvSpPr>
      <xdr:spPr bwMode="auto">
        <a:xfrm>
          <a:off x="15240" y="3362325"/>
          <a:ext cx="1405318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xdr:colOff>
      <xdr:row>0</xdr:row>
      <xdr:rowOff>119063</xdr:rowOff>
    </xdr:from>
    <xdr:to>
      <xdr:col>1</xdr:col>
      <xdr:colOff>631510</xdr:colOff>
      <xdr:row>2</xdr:row>
      <xdr:rowOff>114218</xdr:rowOff>
    </xdr:to>
    <xdr:pic>
      <xdr:nvPicPr>
        <xdr:cNvPr id="4" name="Image 3">
          <a:extLst>
            <a:ext uri="{FF2B5EF4-FFF2-40B4-BE49-F238E27FC236}">
              <a16:creationId xmlns:a16="http://schemas.microsoft.com/office/drawing/2014/main" id="{008D4B96-5333-4F23-B184-CAE0909B8D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20968"/>
          <a:ext cx="1123475" cy="336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434340</xdr:colOff>
      <xdr:row>28</xdr:row>
      <xdr:rowOff>160020</xdr:rowOff>
    </xdr:to>
    <xdr:graphicFrame macro="">
      <xdr:nvGraphicFramePr>
        <xdr:cNvPr id="2" name="Graphique 1">
          <a:extLst>
            <a:ext uri="{FF2B5EF4-FFF2-40B4-BE49-F238E27FC236}">
              <a16:creationId xmlns:a16="http://schemas.microsoft.com/office/drawing/2014/main" id="{E732B1FE-1011-4113-AB68-3AC2A70F47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1542</xdr:colOff>
      <xdr:row>0</xdr:row>
      <xdr:rowOff>0</xdr:rowOff>
    </xdr:from>
    <xdr:to>
      <xdr:col>21</xdr:col>
      <xdr:colOff>761184</xdr:colOff>
      <xdr:row>55</xdr:row>
      <xdr:rowOff>0</xdr:rowOff>
    </xdr:to>
    <xdr:graphicFrame macro="">
      <xdr:nvGraphicFramePr>
        <xdr:cNvPr id="4" name="Matrice de Menu Engineering">
          <a:extLst>
            <a:ext uri="{FF2B5EF4-FFF2-40B4-BE49-F238E27FC236}">
              <a16:creationId xmlns:a16="http://schemas.microsoft.com/office/drawing/2014/main" id="{C63A936B-D743-7DAC-DC30-420E470A01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100853</xdr:colOff>
      <xdr:row>0</xdr:row>
      <xdr:rowOff>44823</xdr:rowOff>
    </xdr:from>
    <xdr:to>
      <xdr:col>1</xdr:col>
      <xdr:colOff>1504998</xdr:colOff>
      <xdr:row>2</xdr:row>
      <xdr:rowOff>136904</xdr:rowOff>
    </xdr:to>
    <xdr:pic>
      <xdr:nvPicPr>
        <xdr:cNvPr id="2" name="Image 1">
          <a:extLst>
            <a:ext uri="{FF2B5EF4-FFF2-40B4-BE49-F238E27FC236}">
              <a16:creationId xmlns:a16="http://schemas.microsoft.com/office/drawing/2014/main" id="{24D154F8-3338-4B04-8A3D-5AD6532343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53" y="44823"/>
          <a:ext cx="1404145" cy="429266"/>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hiago Nyssens" refreshedDate="46169.551534953702" createdVersion="8" refreshedVersion="8" minRefreshableVersion="3" recordCount="35" xr:uid="{AFB3B107-E064-4729-9727-7C1EDD1D4250}">
  <cacheSource type="worksheet">
    <worksheetSource ref="B6:D41" sheet="2. INVEST &amp; AMORT"/>
  </cacheSource>
  <cacheFields count="3">
    <cacheField name="Catégorie investissement" numFmtId="0">
      <sharedItems count="8">
        <s v="IMMOBILISATIONS INCORPORELLES"/>
        <s v="IMMOBILIER"/>
        <s v="INSTALLATIONS"/>
        <s v="MACHINES ET OUTILLAGE"/>
        <s v="MOBILIER PROFESSIONNEL"/>
        <s v="MATERIEL DE BUREAU ET INFORMATIQUE"/>
        <s v="MATERIEL ROULANT"/>
        <s v="IMMOBILISATIONS DÉTENUES EN LOCATION-FINANCEMENT (LEASING) ET DROITS SIMILAIRES (RENTING, ETC)" u="1"/>
      </sharedItems>
    </cacheField>
    <cacheField name="Année achat" numFmtId="0">
      <sharedItems containsSemiMixedTypes="0" containsString="0" containsNumber="1" containsInteger="1" minValue="2018" maxValue="2027" count="9">
        <n v="2023"/>
        <n v="2021"/>
        <n v="2020"/>
        <n v="2018"/>
        <n v="2022"/>
        <n v="2019"/>
        <n v="2025"/>
        <n v="2024"/>
        <n v="2027" u="1"/>
      </sharedItems>
    </cacheField>
    <cacheField name="MONTANT HTVA" numFmtId="44">
      <sharedItems containsString="0" containsBlank="1" containsNumber="1" containsInteger="1" minValue="0" maxValue="3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
  <r>
    <x v="0"/>
    <x v="0"/>
    <n v="3000"/>
  </r>
  <r>
    <x v="0"/>
    <x v="1"/>
    <n v="0"/>
  </r>
  <r>
    <x v="0"/>
    <x v="2"/>
    <n v="1500"/>
  </r>
  <r>
    <x v="0"/>
    <x v="1"/>
    <n v="0"/>
  </r>
  <r>
    <x v="1"/>
    <x v="1"/>
    <n v="0"/>
  </r>
  <r>
    <x v="2"/>
    <x v="1"/>
    <m/>
  </r>
  <r>
    <x v="2"/>
    <x v="3"/>
    <n v="30000"/>
  </r>
  <r>
    <x v="2"/>
    <x v="1"/>
    <n v="0"/>
  </r>
  <r>
    <x v="3"/>
    <x v="4"/>
    <n v="15000"/>
  </r>
  <r>
    <x v="3"/>
    <x v="5"/>
    <n v="11000"/>
  </r>
  <r>
    <x v="3"/>
    <x v="0"/>
    <n v="3800"/>
  </r>
  <r>
    <x v="3"/>
    <x v="0"/>
    <n v="2100"/>
  </r>
  <r>
    <x v="3"/>
    <x v="2"/>
    <n v="11300"/>
  </r>
  <r>
    <x v="3"/>
    <x v="1"/>
    <n v="0"/>
  </r>
  <r>
    <x v="3"/>
    <x v="1"/>
    <n v="0"/>
  </r>
  <r>
    <x v="3"/>
    <x v="0"/>
    <n v="5500"/>
  </r>
  <r>
    <x v="3"/>
    <x v="0"/>
    <n v="15000"/>
  </r>
  <r>
    <x v="4"/>
    <x v="6"/>
    <n v="0"/>
  </r>
  <r>
    <x v="4"/>
    <x v="6"/>
    <n v="0"/>
  </r>
  <r>
    <x v="4"/>
    <x v="6"/>
    <n v="0"/>
  </r>
  <r>
    <x v="4"/>
    <x v="6"/>
    <n v="0"/>
  </r>
  <r>
    <x v="4"/>
    <x v="6"/>
    <n v="0"/>
  </r>
  <r>
    <x v="4"/>
    <x v="6"/>
    <n v="0"/>
  </r>
  <r>
    <x v="4"/>
    <x v="6"/>
    <n v="0"/>
  </r>
  <r>
    <x v="4"/>
    <x v="6"/>
    <n v="0"/>
  </r>
  <r>
    <x v="5"/>
    <x v="6"/>
    <n v="0"/>
  </r>
  <r>
    <x v="5"/>
    <x v="6"/>
    <n v="0"/>
  </r>
  <r>
    <x v="5"/>
    <x v="6"/>
    <n v="0"/>
  </r>
  <r>
    <x v="5"/>
    <x v="6"/>
    <n v="0"/>
  </r>
  <r>
    <x v="5"/>
    <x v="6"/>
    <n v="0"/>
  </r>
  <r>
    <x v="5"/>
    <x v="6"/>
    <n v="0"/>
  </r>
  <r>
    <x v="5"/>
    <x v="6"/>
    <n v="0"/>
  </r>
  <r>
    <x v="5"/>
    <x v="6"/>
    <n v="0"/>
  </r>
  <r>
    <x v="6"/>
    <x v="7"/>
    <n v="15000"/>
  </r>
  <r>
    <x v="6"/>
    <x v="6"/>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AFD69B1-608F-4F2D-BCC1-49388527D412}" name="RESUME INVESTISSEMENTS par catégorie" cacheId="0"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location ref="A1:J10" firstHeaderRow="1" firstDataRow="2" firstDataCol="1"/>
  <pivotFields count="3">
    <pivotField axis="axisRow" showAll="0">
      <items count="9">
        <item x="1"/>
        <item m="1" x="7"/>
        <item x="0"/>
        <item x="2"/>
        <item x="3"/>
        <item x="5"/>
        <item x="6"/>
        <item x="4"/>
        <item t="default"/>
      </items>
    </pivotField>
    <pivotField axis="axisCol" showAll="0">
      <items count="10">
        <item x="3"/>
        <item x="2"/>
        <item x="1"/>
        <item x="4"/>
        <item x="0"/>
        <item x="7"/>
        <item x="6"/>
        <item m="1" x="8"/>
        <item x="5"/>
        <item t="default"/>
      </items>
    </pivotField>
    <pivotField dataField="1" numFmtId="44" showAll="0"/>
  </pivotFields>
  <rowFields count="1">
    <field x="0"/>
  </rowFields>
  <rowItems count="8">
    <i>
      <x/>
    </i>
    <i>
      <x v="2"/>
    </i>
    <i>
      <x v="3"/>
    </i>
    <i>
      <x v="4"/>
    </i>
    <i>
      <x v="5"/>
    </i>
    <i>
      <x v="6"/>
    </i>
    <i>
      <x v="7"/>
    </i>
    <i t="grand">
      <x/>
    </i>
  </rowItems>
  <colFields count="1">
    <field x="1"/>
  </colFields>
  <colItems count="9">
    <i>
      <x/>
    </i>
    <i>
      <x v="1"/>
    </i>
    <i>
      <x v="2"/>
    </i>
    <i>
      <x v="3"/>
    </i>
    <i>
      <x v="4"/>
    </i>
    <i>
      <x v="5"/>
    </i>
    <i>
      <x v="6"/>
    </i>
    <i>
      <x v="8"/>
    </i>
    <i t="grand">
      <x/>
    </i>
  </colItems>
  <dataFields count="1">
    <dataField name="Somme de MONTANT HTVA" fld="2" baseField="0" baseItem="0" numFmtId="44"/>
  </dataFields>
  <formats count="107">
    <format dxfId="149">
      <pivotArea type="all" dataOnly="0" outline="0" fieldPosition="0"/>
    </format>
    <format dxfId="148">
      <pivotArea outline="0" collapsedLevelsAreSubtotals="1" fieldPosition="0"/>
    </format>
    <format dxfId="147">
      <pivotArea type="origin" dataOnly="0" labelOnly="1" outline="0" fieldPosition="0"/>
    </format>
    <format dxfId="146">
      <pivotArea field="1" type="button" dataOnly="0" labelOnly="1" outline="0" axis="axisCol" fieldPosition="0"/>
    </format>
    <format dxfId="145">
      <pivotArea type="topRight" dataOnly="0" labelOnly="1" outline="0" fieldPosition="0"/>
    </format>
    <format dxfId="144">
      <pivotArea field="0" type="button" dataOnly="0" labelOnly="1" outline="0" axis="axisRow" fieldPosition="0"/>
    </format>
    <format dxfId="143">
      <pivotArea dataOnly="0" labelOnly="1" fieldPosition="0">
        <references count="1">
          <reference field="0" count="0"/>
        </references>
      </pivotArea>
    </format>
    <format dxfId="142">
      <pivotArea dataOnly="0" labelOnly="1" grandRow="1" outline="0" fieldPosition="0"/>
    </format>
    <format dxfId="141">
      <pivotArea dataOnly="0" labelOnly="1" fieldPosition="0">
        <references count="1">
          <reference field="1" count="0"/>
        </references>
      </pivotArea>
    </format>
    <format dxfId="140">
      <pivotArea dataOnly="0" labelOnly="1" grandCol="1" outline="0" fieldPosition="0"/>
    </format>
    <format dxfId="109">
      <pivotArea type="all" dataOnly="0" outline="0" fieldPosition="0"/>
    </format>
    <format dxfId="108">
      <pivotArea outline="0" collapsedLevelsAreSubtotals="1" fieldPosition="0"/>
    </format>
    <format dxfId="107">
      <pivotArea dataOnly="0" labelOnly="1" fieldPosition="0">
        <references count="1">
          <reference field="0" count="0"/>
        </references>
      </pivotArea>
    </format>
    <format dxfId="106">
      <pivotArea dataOnly="0" labelOnly="1" fieldPosition="0">
        <references count="1">
          <reference field="1" count="0"/>
        </references>
      </pivotArea>
    </format>
    <format dxfId="105">
      <pivotArea type="origin" dataOnly="0" labelOnly="1" outline="0" fieldPosition="0"/>
    </format>
    <format dxfId="104">
      <pivotArea field="1" type="button" dataOnly="0" labelOnly="1" outline="0" axis="axisCol" fieldPosition="0"/>
    </format>
    <format dxfId="103">
      <pivotArea type="topRight" dataOnly="0" labelOnly="1" outline="0" fieldPosition="0"/>
    </format>
    <format dxfId="102">
      <pivotArea field="0" type="button" dataOnly="0" labelOnly="1" outline="0" axis="axisRow" fieldPosition="0"/>
    </format>
    <format dxfId="101">
      <pivotArea dataOnly="0" labelOnly="1" fieldPosition="0">
        <references count="1">
          <reference field="1" count="1">
            <x v="0"/>
          </reference>
        </references>
      </pivotArea>
    </format>
    <format dxfId="100">
      <pivotArea dataOnly="0" labelOnly="1" fieldPosition="0">
        <references count="1">
          <reference field="1" count="1">
            <x v="1"/>
          </reference>
        </references>
      </pivotArea>
    </format>
    <format dxfId="99">
      <pivotArea dataOnly="0" labelOnly="1" fieldPosition="0">
        <references count="1">
          <reference field="1" count="1">
            <x v="2"/>
          </reference>
        </references>
      </pivotArea>
    </format>
    <format dxfId="98">
      <pivotArea dataOnly="0" labelOnly="1" fieldPosition="0">
        <references count="1">
          <reference field="1" count="1">
            <x v="3"/>
          </reference>
        </references>
      </pivotArea>
    </format>
    <format dxfId="97">
      <pivotArea dataOnly="0" labelOnly="1" fieldPosition="0">
        <references count="1">
          <reference field="1" count="1">
            <x v="4"/>
          </reference>
        </references>
      </pivotArea>
    </format>
    <format dxfId="96">
      <pivotArea dataOnly="0" labelOnly="1" fieldPosition="0">
        <references count="1">
          <reference field="1" count="1">
            <x v="5"/>
          </reference>
        </references>
      </pivotArea>
    </format>
    <format dxfId="95">
      <pivotArea dataOnly="0" labelOnly="1" fieldPosition="0">
        <references count="1">
          <reference field="1" count="1">
            <x v="6"/>
          </reference>
        </references>
      </pivotArea>
    </format>
    <format dxfId="94">
      <pivotArea dataOnly="0" labelOnly="1" fieldPosition="0">
        <references count="1">
          <reference field="1" count="1">
            <x v="8"/>
          </reference>
        </references>
      </pivotArea>
    </format>
    <format dxfId="93">
      <pivotArea dataOnly="0" labelOnly="1" grandCol="1" outline="0" fieldPosition="0"/>
    </format>
    <format dxfId="92">
      <pivotArea dataOnly="0" labelOnly="1" fieldPosition="0">
        <references count="1">
          <reference field="0" count="1">
            <x v="0"/>
          </reference>
        </references>
      </pivotArea>
    </format>
    <format dxfId="91">
      <pivotArea collapsedLevelsAreSubtotals="1" fieldPosition="0">
        <references count="2">
          <reference field="0" count="1">
            <x v="0"/>
          </reference>
          <reference field="1" count="1" selected="0">
            <x v="0"/>
          </reference>
        </references>
      </pivotArea>
    </format>
    <format dxfId="90">
      <pivotArea collapsedLevelsAreSubtotals="1" fieldPosition="0">
        <references count="2">
          <reference field="0" count="1">
            <x v="0"/>
          </reference>
          <reference field="1" count="1" selected="0">
            <x v="1"/>
          </reference>
        </references>
      </pivotArea>
    </format>
    <format dxfId="89">
      <pivotArea collapsedLevelsAreSubtotals="1" fieldPosition="0">
        <references count="2">
          <reference field="0" count="1">
            <x v="0"/>
          </reference>
          <reference field="1" count="1" selected="0">
            <x v="2"/>
          </reference>
        </references>
      </pivotArea>
    </format>
    <format dxfId="88">
      <pivotArea collapsedLevelsAreSubtotals="1" fieldPosition="0">
        <references count="2">
          <reference field="0" count="1">
            <x v="0"/>
          </reference>
          <reference field="1" count="1" selected="0">
            <x v="3"/>
          </reference>
        </references>
      </pivotArea>
    </format>
    <format dxfId="87">
      <pivotArea collapsedLevelsAreSubtotals="1" fieldPosition="0">
        <references count="2">
          <reference field="0" count="1">
            <x v="0"/>
          </reference>
          <reference field="1" count="1" selected="0">
            <x v="4"/>
          </reference>
        </references>
      </pivotArea>
    </format>
    <format dxfId="86">
      <pivotArea collapsedLevelsAreSubtotals="1" fieldPosition="0">
        <references count="2">
          <reference field="0" count="1">
            <x v="0"/>
          </reference>
          <reference field="1" count="1" selected="0">
            <x v="5"/>
          </reference>
        </references>
      </pivotArea>
    </format>
    <format dxfId="85">
      <pivotArea collapsedLevelsAreSubtotals="1" fieldPosition="0">
        <references count="2">
          <reference field="0" count="1">
            <x v="0"/>
          </reference>
          <reference field="1" count="1" selected="0">
            <x v="6"/>
          </reference>
        </references>
      </pivotArea>
    </format>
    <format dxfId="84">
      <pivotArea collapsedLevelsAreSubtotals="1" fieldPosition="0">
        <references count="2">
          <reference field="0" count="1">
            <x v="0"/>
          </reference>
          <reference field="1" count="1" selected="0">
            <x v="8"/>
          </reference>
        </references>
      </pivotArea>
    </format>
    <format dxfId="83">
      <pivotArea field="0" grandCol="1" collapsedLevelsAreSubtotals="1" axis="axisRow" fieldPosition="0">
        <references count="1">
          <reference field="0" count="1">
            <x v="0"/>
          </reference>
        </references>
      </pivotArea>
    </format>
    <format dxfId="82">
      <pivotArea dataOnly="0" labelOnly="1" fieldPosition="0">
        <references count="1">
          <reference field="0" count="1">
            <x v="2"/>
          </reference>
        </references>
      </pivotArea>
    </format>
    <format dxfId="81">
      <pivotArea collapsedLevelsAreSubtotals="1" fieldPosition="0">
        <references count="2">
          <reference field="0" count="1">
            <x v="2"/>
          </reference>
          <reference field="1" count="1" selected="0">
            <x v="0"/>
          </reference>
        </references>
      </pivotArea>
    </format>
    <format dxfId="80">
      <pivotArea collapsedLevelsAreSubtotals="1" fieldPosition="0">
        <references count="2">
          <reference field="0" count="1">
            <x v="2"/>
          </reference>
          <reference field="1" count="1" selected="0">
            <x v="1"/>
          </reference>
        </references>
      </pivotArea>
    </format>
    <format dxfId="79">
      <pivotArea collapsedLevelsAreSubtotals="1" fieldPosition="0">
        <references count="2">
          <reference field="0" count="1">
            <x v="2"/>
          </reference>
          <reference field="1" count="1" selected="0">
            <x v="2"/>
          </reference>
        </references>
      </pivotArea>
    </format>
    <format dxfId="78">
      <pivotArea collapsedLevelsAreSubtotals="1" fieldPosition="0">
        <references count="2">
          <reference field="0" count="1">
            <x v="2"/>
          </reference>
          <reference field="1" count="1" selected="0">
            <x v="3"/>
          </reference>
        </references>
      </pivotArea>
    </format>
    <format dxfId="77">
      <pivotArea collapsedLevelsAreSubtotals="1" fieldPosition="0">
        <references count="2">
          <reference field="0" count="1">
            <x v="2"/>
          </reference>
          <reference field="1" count="1" selected="0">
            <x v="4"/>
          </reference>
        </references>
      </pivotArea>
    </format>
    <format dxfId="76">
      <pivotArea collapsedLevelsAreSubtotals="1" fieldPosition="0">
        <references count="2">
          <reference field="0" count="1">
            <x v="2"/>
          </reference>
          <reference field="1" count="1" selected="0">
            <x v="5"/>
          </reference>
        </references>
      </pivotArea>
    </format>
    <format dxfId="75">
      <pivotArea collapsedLevelsAreSubtotals="1" fieldPosition="0">
        <references count="2">
          <reference field="0" count="1">
            <x v="2"/>
          </reference>
          <reference field="1" count="1" selected="0">
            <x v="6"/>
          </reference>
        </references>
      </pivotArea>
    </format>
    <format dxfId="74">
      <pivotArea collapsedLevelsAreSubtotals="1" fieldPosition="0">
        <references count="2">
          <reference field="0" count="1">
            <x v="2"/>
          </reference>
          <reference field="1" count="1" selected="0">
            <x v="8"/>
          </reference>
        </references>
      </pivotArea>
    </format>
    <format dxfId="73">
      <pivotArea field="0" grandCol="1" collapsedLevelsAreSubtotals="1" axis="axisRow" fieldPosition="0">
        <references count="1">
          <reference field="0" count="1">
            <x v="2"/>
          </reference>
        </references>
      </pivotArea>
    </format>
    <format dxfId="72">
      <pivotArea dataOnly="0" labelOnly="1" fieldPosition="0">
        <references count="1">
          <reference field="0" count="1">
            <x v="3"/>
          </reference>
        </references>
      </pivotArea>
    </format>
    <format dxfId="71">
      <pivotArea collapsedLevelsAreSubtotals="1" fieldPosition="0">
        <references count="2">
          <reference field="0" count="1">
            <x v="3"/>
          </reference>
          <reference field="1" count="1" selected="0">
            <x v="0"/>
          </reference>
        </references>
      </pivotArea>
    </format>
    <format dxfId="70">
      <pivotArea collapsedLevelsAreSubtotals="1" fieldPosition="0">
        <references count="2">
          <reference field="0" count="1">
            <x v="3"/>
          </reference>
          <reference field="1" count="1" selected="0">
            <x v="1"/>
          </reference>
        </references>
      </pivotArea>
    </format>
    <format dxfId="69">
      <pivotArea collapsedLevelsAreSubtotals="1" fieldPosition="0">
        <references count="2">
          <reference field="0" count="1">
            <x v="3"/>
          </reference>
          <reference field="1" count="1" selected="0">
            <x v="2"/>
          </reference>
        </references>
      </pivotArea>
    </format>
    <format dxfId="68">
      <pivotArea collapsedLevelsAreSubtotals="1" fieldPosition="0">
        <references count="2">
          <reference field="0" count="1">
            <x v="3"/>
          </reference>
          <reference field="1" count="1" selected="0">
            <x v="3"/>
          </reference>
        </references>
      </pivotArea>
    </format>
    <format dxfId="67">
      <pivotArea collapsedLevelsAreSubtotals="1" fieldPosition="0">
        <references count="2">
          <reference field="0" count="1">
            <x v="3"/>
          </reference>
          <reference field="1" count="1" selected="0">
            <x v="4"/>
          </reference>
        </references>
      </pivotArea>
    </format>
    <format dxfId="66">
      <pivotArea collapsedLevelsAreSubtotals="1" fieldPosition="0">
        <references count="2">
          <reference field="0" count="1">
            <x v="3"/>
          </reference>
          <reference field="1" count="1" selected="0">
            <x v="5"/>
          </reference>
        </references>
      </pivotArea>
    </format>
    <format dxfId="65">
      <pivotArea collapsedLevelsAreSubtotals="1" fieldPosition="0">
        <references count="2">
          <reference field="0" count="1">
            <x v="3"/>
          </reference>
          <reference field="1" count="1" selected="0">
            <x v="6"/>
          </reference>
        </references>
      </pivotArea>
    </format>
    <format dxfId="64">
      <pivotArea collapsedLevelsAreSubtotals="1" fieldPosition="0">
        <references count="2">
          <reference field="0" count="1">
            <x v="3"/>
          </reference>
          <reference field="1" count="1" selected="0">
            <x v="8"/>
          </reference>
        </references>
      </pivotArea>
    </format>
    <format dxfId="63">
      <pivotArea field="0" grandCol="1" collapsedLevelsAreSubtotals="1" axis="axisRow" fieldPosition="0">
        <references count="1">
          <reference field="0" count="1">
            <x v="3"/>
          </reference>
        </references>
      </pivotArea>
    </format>
    <format dxfId="62">
      <pivotArea dataOnly="0" labelOnly="1" fieldPosition="0">
        <references count="1">
          <reference field="0" count="1">
            <x v="4"/>
          </reference>
        </references>
      </pivotArea>
    </format>
    <format dxfId="61">
      <pivotArea collapsedLevelsAreSubtotals="1" fieldPosition="0">
        <references count="2">
          <reference field="0" count="1">
            <x v="4"/>
          </reference>
          <reference field="1" count="1" selected="0">
            <x v="0"/>
          </reference>
        </references>
      </pivotArea>
    </format>
    <format dxfId="60">
      <pivotArea collapsedLevelsAreSubtotals="1" fieldPosition="0">
        <references count="2">
          <reference field="0" count="1">
            <x v="4"/>
          </reference>
          <reference field="1" count="1" selected="0">
            <x v="1"/>
          </reference>
        </references>
      </pivotArea>
    </format>
    <format dxfId="59">
      <pivotArea collapsedLevelsAreSubtotals="1" fieldPosition="0">
        <references count="2">
          <reference field="0" count="1">
            <x v="4"/>
          </reference>
          <reference field="1" count="1" selected="0">
            <x v="2"/>
          </reference>
        </references>
      </pivotArea>
    </format>
    <format dxfId="58">
      <pivotArea collapsedLevelsAreSubtotals="1" fieldPosition="0">
        <references count="2">
          <reference field="0" count="1">
            <x v="4"/>
          </reference>
          <reference field="1" count="1" selected="0">
            <x v="3"/>
          </reference>
        </references>
      </pivotArea>
    </format>
    <format dxfId="57">
      <pivotArea collapsedLevelsAreSubtotals="1" fieldPosition="0">
        <references count="2">
          <reference field="0" count="1">
            <x v="4"/>
          </reference>
          <reference field="1" count="1" selected="0">
            <x v="4"/>
          </reference>
        </references>
      </pivotArea>
    </format>
    <format dxfId="56">
      <pivotArea collapsedLevelsAreSubtotals="1" fieldPosition="0">
        <references count="2">
          <reference field="0" count="1">
            <x v="4"/>
          </reference>
          <reference field="1" count="1" selected="0">
            <x v="5"/>
          </reference>
        </references>
      </pivotArea>
    </format>
    <format dxfId="55">
      <pivotArea collapsedLevelsAreSubtotals="1" fieldPosition="0">
        <references count="2">
          <reference field="0" count="1">
            <x v="4"/>
          </reference>
          <reference field="1" count="1" selected="0">
            <x v="6"/>
          </reference>
        </references>
      </pivotArea>
    </format>
    <format dxfId="54">
      <pivotArea collapsedLevelsAreSubtotals="1" fieldPosition="0">
        <references count="2">
          <reference field="0" count="1">
            <x v="4"/>
          </reference>
          <reference field="1" count="1" selected="0">
            <x v="8"/>
          </reference>
        </references>
      </pivotArea>
    </format>
    <format dxfId="53">
      <pivotArea field="0" grandCol="1" collapsedLevelsAreSubtotals="1" axis="axisRow" fieldPosition="0">
        <references count="1">
          <reference field="0" count="1">
            <x v="4"/>
          </reference>
        </references>
      </pivotArea>
    </format>
    <format dxfId="52">
      <pivotArea dataOnly="0" labelOnly="1" fieldPosition="0">
        <references count="1">
          <reference field="0" count="1">
            <x v="5"/>
          </reference>
        </references>
      </pivotArea>
    </format>
    <format dxfId="51">
      <pivotArea collapsedLevelsAreSubtotals="1" fieldPosition="0">
        <references count="2">
          <reference field="0" count="1">
            <x v="5"/>
          </reference>
          <reference field="1" count="1" selected="0">
            <x v="0"/>
          </reference>
        </references>
      </pivotArea>
    </format>
    <format dxfId="50">
      <pivotArea collapsedLevelsAreSubtotals="1" fieldPosition="0">
        <references count="2">
          <reference field="0" count="1">
            <x v="5"/>
          </reference>
          <reference field="1" count="1" selected="0">
            <x v="1"/>
          </reference>
        </references>
      </pivotArea>
    </format>
    <format dxfId="49">
      <pivotArea collapsedLevelsAreSubtotals="1" fieldPosition="0">
        <references count="2">
          <reference field="0" count="1">
            <x v="5"/>
          </reference>
          <reference field="1" count="1" selected="0">
            <x v="2"/>
          </reference>
        </references>
      </pivotArea>
    </format>
    <format dxfId="48">
      <pivotArea collapsedLevelsAreSubtotals="1" fieldPosition="0">
        <references count="2">
          <reference field="0" count="1">
            <x v="5"/>
          </reference>
          <reference field="1" count="1" selected="0">
            <x v="3"/>
          </reference>
        </references>
      </pivotArea>
    </format>
    <format dxfId="47">
      <pivotArea collapsedLevelsAreSubtotals="1" fieldPosition="0">
        <references count="2">
          <reference field="0" count="1">
            <x v="5"/>
          </reference>
          <reference field="1" count="1" selected="0">
            <x v="4"/>
          </reference>
        </references>
      </pivotArea>
    </format>
    <format dxfId="46">
      <pivotArea collapsedLevelsAreSubtotals="1" fieldPosition="0">
        <references count="2">
          <reference field="0" count="1">
            <x v="5"/>
          </reference>
          <reference field="1" count="1" selected="0">
            <x v="5"/>
          </reference>
        </references>
      </pivotArea>
    </format>
    <format dxfId="45">
      <pivotArea collapsedLevelsAreSubtotals="1" fieldPosition="0">
        <references count="2">
          <reference field="0" count="1">
            <x v="5"/>
          </reference>
          <reference field="1" count="1" selected="0">
            <x v="6"/>
          </reference>
        </references>
      </pivotArea>
    </format>
    <format dxfId="44">
      <pivotArea collapsedLevelsAreSubtotals="1" fieldPosition="0">
        <references count="2">
          <reference field="0" count="1">
            <x v="5"/>
          </reference>
          <reference field="1" count="1" selected="0">
            <x v="8"/>
          </reference>
        </references>
      </pivotArea>
    </format>
    <format dxfId="43">
      <pivotArea field="0" grandCol="1" collapsedLevelsAreSubtotals="1" axis="axisRow" fieldPosition="0">
        <references count="1">
          <reference field="0" count="1">
            <x v="5"/>
          </reference>
        </references>
      </pivotArea>
    </format>
    <format dxfId="42">
      <pivotArea dataOnly="0" labelOnly="1" fieldPosition="0">
        <references count="1">
          <reference field="0" count="1">
            <x v="6"/>
          </reference>
        </references>
      </pivotArea>
    </format>
    <format dxfId="41">
      <pivotArea collapsedLevelsAreSubtotals="1" fieldPosition="0">
        <references count="2">
          <reference field="0" count="1">
            <x v="6"/>
          </reference>
          <reference field="1" count="1" selected="0">
            <x v="0"/>
          </reference>
        </references>
      </pivotArea>
    </format>
    <format dxfId="40">
      <pivotArea collapsedLevelsAreSubtotals="1" fieldPosition="0">
        <references count="2">
          <reference field="0" count="1">
            <x v="6"/>
          </reference>
          <reference field="1" count="1" selected="0">
            <x v="1"/>
          </reference>
        </references>
      </pivotArea>
    </format>
    <format dxfId="39">
      <pivotArea collapsedLevelsAreSubtotals="1" fieldPosition="0">
        <references count="2">
          <reference field="0" count="1">
            <x v="6"/>
          </reference>
          <reference field="1" count="1" selected="0">
            <x v="2"/>
          </reference>
        </references>
      </pivotArea>
    </format>
    <format dxfId="38">
      <pivotArea collapsedLevelsAreSubtotals="1" fieldPosition="0">
        <references count="2">
          <reference field="0" count="1">
            <x v="6"/>
          </reference>
          <reference field="1" count="1" selected="0">
            <x v="3"/>
          </reference>
        </references>
      </pivotArea>
    </format>
    <format dxfId="37">
      <pivotArea collapsedLevelsAreSubtotals="1" fieldPosition="0">
        <references count="2">
          <reference field="0" count="1">
            <x v="6"/>
          </reference>
          <reference field="1" count="1" selected="0">
            <x v="4"/>
          </reference>
        </references>
      </pivotArea>
    </format>
    <format dxfId="36">
      <pivotArea collapsedLevelsAreSubtotals="1" fieldPosition="0">
        <references count="2">
          <reference field="0" count="1">
            <x v="6"/>
          </reference>
          <reference field="1" count="1" selected="0">
            <x v="5"/>
          </reference>
        </references>
      </pivotArea>
    </format>
    <format dxfId="35">
      <pivotArea collapsedLevelsAreSubtotals="1" fieldPosition="0">
        <references count="2">
          <reference field="0" count="1">
            <x v="6"/>
          </reference>
          <reference field="1" count="1" selected="0">
            <x v="6"/>
          </reference>
        </references>
      </pivotArea>
    </format>
    <format dxfId="34">
      <pivotArea collapsedLevelsAreSubtotals="1" fieldPosition="0">
        <references count="2">
          <reference field="0" count="1">
            <x v="6"/>
          </reference>
          <reference field="1" count="1" selected="0">
            <x v="8"/>
          </reference>
        </references>
      </pivotArea>
    </format>
    <format dxfId="33">
      <pivotArea field="0" grandCol="1" collapsedLevelsAreSubtotals="1" axis="axisRow" fieldPosition="0">
        <references count="1">
          <reference field="0" count="1">
            <x v="6"/>
          </reference>
        </references>
      </pivotArea>
    </format>
    <format dxfId="32">
      <pivotArea dataOnly="0" labelOnly="1" fieldPosition="0">
        <references count="1">
          <reference field="0" count="1">
            <x v="7"/>
          </reference>
        </references>
      </pivotArea>
    </format>
    <format dxfId="31">
      <pivotArea collapsedLevelsAreSubtotals="1" fieldPosition="0">
        <references count="2">
          <reference field="0" count="1">
            <x v="7"/>
          </reference>
          <reference field="1" count="1" selected="0">
            <x v="0"/>
          </reference>
        </references>
      </pivotArea>
    </format>
    <format dxfId="30">
      <pivotArea collapsedLevelsAreSubtotals="1" fieldPosition="0">
        <references count="2">
          <reference field="0" count="1">
            <x v="7"/>
          </reference>
          <reference field="1" count="1" selected="0">
            <x v="1"/>
          </reference>
        </references>
      </pivotArea>
    </format>
    <format dxfId="29">
      <pivotArea collapsedLevelsAreSubtotals="1" fieldPosition="0">
        <references count="2">
          <reference field="0" count="1">
            <x v="7"/>
          </reference>
          <reference field="1" count="1" selected="0">
            <x v="2"/>
          </reference>
        </references>
      </pivotArea>
    </format>
    <format dxfId="28">
      <pivotArea collapsedLevelsAreSubtotals="1" fieldPosition="0">
        <references count="2">
          <reference field="0" count="1">
            <x v="7"/>
          </reference>
          <reference field="1" count="1" selected="0">
            <x v="3"/>
          </reference>
        </references>
      </pivotArea>
    </format>
    <format dxfId="27">
      <pivotArea collapsedLevelsAreSubtotals="1" fieldPosition="0">
        <references count="2">
          <reference field="0" count="1">
            <x v="7"/>
          </reference>
          <reference field="1" count="1" selected="0">
            <x v="4"/>
          </reference>
        </references>
      </pivotArea>
    </format>
    <format dxfId="26">
      <pivotArea collapsedLevelsAreSubtotals="1" fieldPosition="0">
        <references count="2">
          <reference field="0" count="1">
            <x v="7"/>
          </reference>
          <reference field="1" count="1" selected="0">
            <x v="5"/>
          </reference>
        </references>
      </pivotArea>
    </format>
    <format dxfId="25">
      <pivotArea collapsedLevelsAreSubtotals="1" fieldPosition="0">
        <references count="2">
          <reference field="0" count="1">
            <x v="7"/>
          </reference>
          <reference field="1" count="1" selected="0">
            <x v="6"/>
          </reference>
        </references>
      </pivotArea>
    </format>
    <format dxfId="24">
      <pivotArea collapsedLevelsAreSubtotals="1" fieldPosition="0">
        <references count="2">
          <reference field="0" count="1">
            <x v="7"/>
          </reference>
          <reference field="1" count="1" selected="0">
            <x v="8"/>
          </reference>
        </references>
      </pivotArea>
    </format>
    <format dxfId="23">
      <pivotArea field="0" grandCol="1" collapsedLevelsAreSubtotals="1" axis="axisRow" fieldPosition="0">
        <references count="1">
          <reference field="0" count="1">
            <x v="7"/>
          </reference>
        </references>
      </pivotArea>
    </format>
    <format dxfId="22">
      <pivotArea dataOnly="0" labelOnly="1" grandRow="1" outline="0" fieldPosition="0"/>
    </format>
    <format dxfId="21">
      <pivotArea field="1" grandRow="1" outline="0" collapsedLevelsAreSubtotals="1" axis="axisCol" fieldPosition="0">
        <references count="1">
          <reference field="1" count="1" selected="0">
            <x v="0"/>
          </reference>
        </references>
      </pivotArea>
    </format>
    <format dxfId="20">
      <pivotArea field="1" grandRow="1" outline="0" collapsedLevelsAreSubtotals="1" axis="axisCol" fieldPosition="0">
        <references count="1">
          <reference field="1" count="1" selected="0">
            <x v="1"/>
          </reference>
        </references>
      </pivotArea>
    </format>
    <format dxfId="19">
      <pivotArea field="1" grandRow="1" outline="0" collapsedLevelsAreSubtotals="1" axis="axisCol" fieldPosition="0">
        <references count="1">
          <reference field="1" count="1" selected="0">
            <x v="2"/>
          </reference>
        </references>
      </pivotArea>
    </format>
    <format dxfId="18">
      <pivotArea field="1" grandRow="1" outline="0" collapsedLevelsAreSubtotals="1" axis="axisCol" fieldPosition="0">
        <references count="1">
          <reference field="1" count="1" selected="0">
            <x v="3"/>
          </reference>
        </references>
      </pivotArea>
    </format>
    <format dxfId="17">
      <pivotArea field="1" grandRow="1" outline="0" collapsedLevelsAreSubtotals="1" axis="axisCol" fieldPosition="0">
        <references count="1">
          <reference field="1" count="1" selected="0">
            <x v="4"/>
          </reference>
        </references>
      </pivotArea>
    </format>
    <format dxfId="16">
      <pivotArea field="1" grandRow="1" outline="0" collapsedLevelsAreSubtotals="1" axis="axisCol" fieldPosition="0">
        <references count="1">
          <reference field="1" count="1" selected="0">
            <x v="5"/>
          </reference>
        </references>
      </pivotArea>
    </format>
    <format dxfId="15">
      <pivotArea field="1" grandRow="1" outline="0" collapsedLevelsAreSubtotals="1" axis="axisCol" fieldPosition="0">
        <references count="1">
          <reference field="1" count="1" selected="0">
            <x v="6"/>
          </reference>
        </references>
      </pivotArea>
    </format>
    <format dxfId="14">
      <pivotArea field="1" grandRow="1" outline="0" collapsedLevelsAreSubtotals="1" axis="axisCol" fieldPosition="0">
        <references count="1">
          <reference field="1" count="1" selected="0">
            <x v="8"/>
          </reference>
        </references>
      </pivotArea>
    </format>
    <format dxfId="13">
      <pivotArea grandRow="1" grandCol="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D0F53E-DBC8-49CB-83A0-83E4883CCC85}" name="tblIngredients" displayName="tblIngredients" ref="A4:E64" totalsRowShown="0" headerRowDxfId="7" dataDxfId="6" headerRowBorderDxfId="139" tableBorderDxfId="138" totalsRowBorderDxfId="137">
  <autoFilter ref="A4:E64" xr:uid="{81D0F53E-DBC8-49CB-83A0-83E4883CCC85}"/>
  <sortState xmlns:xlrd2="http://schemas.microsoft.com/office/spreadsheetml/2017/richdata2" ref="A5:E11">
    <sortCondition ref="A4:A11"/>
  </sortState>
  <tableColumns count="5">
    <tableColumn id="1" xr3:uid="{692CA864-419A-43F5-AA7A-57C9971E9732}" name="Article" dataDxfId="12" dataCellStyle="Normal 2"/>
    <tableColumn id="5" xr3:uid="{4600568E-FCE7-4AB9-904A-3ABA6E2EC97A}" name="Autoproduction" dataDxfId="11" dataCellStyle="Normal 2"/>
    <tableColumn id="2" xr3:uid="{F476AC79-37D1-44FF-8999-782D3024D489}" name="Fournisseur" dataDxfId="10" dataCellStyle="Normal 2"/>
    <tableColumn id="3" xr3:uid="{25AD57C3-9A0D-4CDA-99E5-84C2BC174151}" name="Unité conditionnement" dataDxfId="9" dataCellStyle="Normal 2"/>
    <tableColumn id="4" xr3:uid="{4E4C568A-FEFD-42DA-A4E9-12E306E678C0}" name="Coût d'achat HTVA  à l'unité" dataDxfId="8" dataCellStyle="Normal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B5612D4-4D0A-4F70-81D9-26D6D6BFBCF4}" name="tblConsommables" displayName="tblConsommables" ref="A4:D8" totalsRowShown="0" headerRowDxfId="1" dataDxfId="0" headerRowBorderDxfId="136" tableBorderDxfId="135" totalsRowBorderDxfId="134">
  <autoFilter ref="A4:D8" xr:uid="{81D0F53E-DBC8-49CB-83A0-83E4883CCC85}"/>
  <sortState xmlns:xlrd2="http://schemas.microsoft.com/office/spreadsheetml/2017/richdata2" ref="A5:D11">
    <sortCondition ref="A4:A11"/>
  </sortState>
  <tableColumns count="4">
    <tableColumn id="1" xr3:uid="{4F423DB7-385A-412E-B34F-9164D1C4DF8D}" name="Article" dataDxfId="5" dataCellStyle="Normal 2"/>
    <tableColumn id="2" xr3:uid="{89803ACA-640E-422B-BFDC-CFBEE65B3D71}" name="Fournisseur" dataDxfId="4" dataCellStyle="Normal 2"/>
    <tableColumn id="3" xr3:uid="{C2ECED44-1AA6-4D7E-9DB6-01755F59BF23}" name="Unité conditionnement" dataDxfId="3" dataCellStyle="Normal 2"/>
    <tableColumn id="4" xr3:uid="{1F062158-F147-47A8-BFCD-39F2B85C0385}" name="Coût d'achat HTVA  à l'unité" dataDxfId="2" dataCellStyle="Normal 2"/>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19" row="9">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A4FCB66-15E9-4268-8B24-E74C331E135A}">
  <we:reference id="WA200009404" version="1.0.0.8" store="Omex" storeType="OMEX"/>
  <we:alternateReferences>
    <we:reference id="WA200009404" version="1.0.0.8" store="WA200009404" storeType="OMEX"/>
  </we:alternateReferences>
  <we:properties>
    <we:property name="claude.fileId" value="&quot;c219416f-5d86-4f02-b373-418d5c61cfad&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6.xml.rels><?xml version="1.0" encoding="UTF-8" standalone="yes"?>
<Relationships xmlns="http://schemas.openxmlformats.org/package/2006/relationships"><Relationship Id="rId1" Type="http://schemas.openxmlformats.org/officeDocument/2006/relationships/hyperlink" Target="javascript:%20void(openDocument('49e6dbbd-ef6e-4be0-84fe-147218be9db0'));"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DDDBB-E23C-440C-97DA-27DAA6F984C2}">
  <dimension ref="A1:C51"/>
  <sheetViews>
    <sheetView topLeftCell="B9" workbookViewId="0">
      <selection activeCell="C1" sqref="C1"/>
    </sheetView>
  </sheetViews>
  <sheetFormatPr baseColWidth="10" defaultRowHeight="14.4"/>
  <cols>
    <col min="1" max="1" width="30.109375" style="37" customWidth="1"/>
    <col min="2" max="2" width="43.33203125" style="37" customWidth="1"/>
    <col min="3" max="3" width="99.88671875" style="37" customWidth="1"/>
    <col min="4" max="16384" width="11.5546875" style="37"/>
  </cols>
  <sheetData>
    <row r="1" spans="1:3">
      <c r="A1" s="35" t="s">
        <v>75</v>
      </c>
      <c r="B1" s="36"/>
      <c r="C1" s="37" t="s">
        <v>575</v>
      </c>
    </row>
    <row r="2" spans="1:3">
      <c r="A2" s="456"/>
      <c r="B2" s="38" t="s">
        <v>76</v>
      </c>
    </row>
    <row r="3" spans="1:3">
      <c r="A3" s="39"/>
      <c r="B3" s="38" t="s">
        <v>77</v>
      </c>
    </row>
    <row r="4" spans="1:3">
      <c r="A4" s="40"/>
      <c r="B4" s="38" t="s">
        <v>78</v>
      </c>
    </row>
    <row r="5" spans="1:3" ht="15" thickBot="1">
      <c r="A5" s="41"/>
      <c r="B5" s="42" t="s">
        <v>79</v>
      </c>
    </row>
    <row r="6" spans="1:3" ht="15" thickBot="1"/>
    <row r="7" spans="1:3" ht="15" thickBot="1">
      <c r="A7" s="453" t="s">
        <v>0</v>
      </c>
      <c r="B7" s="454" t="s">
        <v>1</v>
      </c>
      <c r="C7" s="455" t="s">
        <v>2</v>
      </c>
    </row>
    <row r="8" spans="1:3" ht="15" thickBot="1">
      <c r="A8" s="43"/>
      <c r="B8" s="43"/>
      <c r="C8" s="43"/>
    </row>
    <row r="9" spans="1:3" ht="29.4" thickBot="1">
      <c r="A9" s="324" t="s">
        <v>353</v>
      </c>
      <c r="B9" s="311" t="s">
        <v>549</v>
      </c>
      <c r="C9" s="312" t="s">
        <v>541</v>
      </c>
    </row>
    <row r="10" spans="1:3" ht="29.4" thickBot="1">
      <c r="A10" s="325" t="s">
        <v>532</v>
      </c>
      <c r="B10" s="313" t="s">
        <v>550</v>
      </c>
      <c r="C10" s="313" t="s">
        <v>551</v>
      </c>
    </row>
    <row r="11" spans="1:3" ht="40.200000000000003" thickBot="1">
      <c r="A11" s="324" t="s">
        <v>533</v>
      </c>
      <c r="B11" s="314" t="s">
        <v>552</v>
      </c>
      <c r="C11" s="315" t="s">
        <v>553</v>
      </c>
    </row>
    <row r="12" spans="1:3" ht="29.4" thickBot="1">
      <c r="A12" s="325" t="s">
        <v>354</v>
      </c>
      <c r="B12" s="313" t="s">
        <v>554</v>
      </c>
      <c r="C12" s="313" t="s">
        <v>555</v>
      </c>
    </row>
    <row r="13" spans="1:3" ht="66.599999999999994" thickBot="1">
      <c r="A13" s="445" t="s">
        <v>778</v>
      </c>
      <c r="B13" s="446" t="s">
        <v>779</v>
      </c>
      <c r="C13" s="447" t="s">
        <v>780</v>
      </c>
    </row>
    <row r="14" spans="1:3" ht="43.8" thickBot="1">
      <c r="A14" s="442" t="s">
        <v>355</v>
      </c>
      <c r="B14" s="443" t="s">
        <v>556</v>
      </c>
      <c r="C14" s="313" t="s">
        <v>570</v>
      </c>
    </row>
    <row r="15" spans="1:3" ht="79.2">
      <c r="A15" s="333" t="s">
        <v>356</v>
      </c>
      <c r="B15" s="335" t="s">
        <v>571</v>
      </c>
      <c r="C15" s="316" t="s">
        <v>557</v>
      </c>
    </row>
    <row r="16" spans="1:3" ht="66.599999999999994" thickBot="1">
      <c r="A16" s="334" t="s">
        <v>539</v>
      </c>
      <c r="B16" s="336" t="s">
        <v>572</v>
      </c>
      <c r="C16" s="317" t="s">
        <v>558</v>
      </c>
    </row>
    <row r="17" spans="1:3" ht="29.4" thickBot="1">
      <c r="A17" s="325" t="s">
        <v>540</v>
      </c>
      <c r="B17" s="313" t="s">
        <v>559</v>
      </c>
      <c r="C17" s="313" t="s">
        <v>541</v>
      </c>
    </row>
    <row r="18" spans="1:3" ht="40.200000000000003" thickBot="1">
      <c r="A18" s="326" t="s">
        <v>534</v>
      </c>
      <c r="B18" s="314" t="s">
        <v>574</v>
      </c>
      <c r="C18" s="315" t="s">
        <v>560</v>
      </c>
    </row>
    <row r="19" spans="1:3" ht="40.200000000000003" thickBot="1">
      <c r="A19" s="327" t="s">
        <v>536</v>
      </c>
      <c r="B19" s="318" t="s">
        <v>561</v>
      </c>
      <c r="C19" s="319" t="s">
        <v>562</v>
      </c>
    </row>
    <row r="20" spans="1:3" ht="53.4" thickBot="1">
      <c r="A20" s="337" t="s">
        <v>537</v>
      </c>
      <c r="B20" s="339" t="s">
        <v>563</v>
      </c>
      <c r="C20" s="320" t="s">
        <v>790</v>
      </c>
    </row>
    <row r="21" spans="1:3" ht="66.599999999999994" thickBot="1">
      <c r="A21" s="338" t="s">
        <v>535</v>
      </c>
      <c r="B21" s="340" t="s">
        <v>573</v>
      </c>
      <c r="C21" s="321" t="s">
        <v>789</v>
      </c>
    </row>
    <row r="22" spans="1:3" ht="39.6">
      <c r="A22" s="327" t="s">
        <v>538</v>
      </c>
      <c r="B22" s="322" t="s">
        <v>564</v>
      </c>
      <c r="C22" s="323" t="s">
        <v>565</v>
      </c>
    </row>
    <row r="23" spans="1:3" ht="26.4">
      <c r="A23" s="327" t="s">
        <v>542</v>
      </c>
      <c r="B23" s="322" t="s">
        <v>543</v>
      </c>
      <c r="C23" s="323" t="s">
        <v>544</v>
      </c>
    </row>
    <row r="24" spans="1:3" ht="106.2" thickBot="1">
      <c r="A24" s="327" t="s">
        <v>545</v>
      </c>
      <c r="B24" s="451" t="s">
        <v>781</v>
      </c>
      <c r="C24" s="319" t="s">
        <v>782</v>
      </c>
    </row>
    <row r="25" spans="1:3" ht="79.8" thickBot="1">
      <c r="A25" s="445" t="s">
        <v>783</v>
      </c>
      <c r="B25" s="444" t="s">
        <v>784</v>
      </c>
      <c r="C25" s="447" t="s">
        <v>785</v>
      </c>
    </row>
    <row r="26" spans="1:3">
      <c r="A26" s="448" t="s">
        <v>566</v>
      </c>
      <c r="B26" s="449" t="s">
        <v>567</v>
      </c>
      <c r="C26" s="450" t="s">
        <v>568</v>
      </c>
    </row>
    <row r="27" spans="1:3" ht="15" thickBot="1">
      <c r="A27" s="369"/>
      <c r="B27" s="368"/>
      <c r="C27" s="44" t="s">
        <v>569</v>
      </c>
    </row>
    <row r="28" spans="1:3" ht="15" thickBot="1">
      <c r="A28" s="369"/>
      <c r="B28" s="368"/>
      <c r="C28" s="328"/>
    </row>
    <row r="29" spans="1:3" ht="40.200000000000003" thickBot="1">
      <c r="A29" s="445" t="s">
        <v>786</v>
      </c>
      <c r="B29" s="446" t="s">
        <v>787</v>
      </c>
      <c r="C29" s="447" t="s">
        <v>788</v>
      </c>
    </row>
    <row r="30" spans="1:3" ht="14.4" customHeight="1">
      <c r="A30" s="368"/>
      <c r="B30" s="368"/>
      <c r="C30" s="43"/>
    </row>
    <row r="31" spans="1:3">
      <c r="A31" s="368"/>
      <c r="B31" s="368"/>
      <c r="C31" s="43"/>
    </row>
    <row r="32" spans="1:3">
      <c r="A32" s="368"/>
      <c r="B32" s="368"/>
      <c r="C32" s="43"/>
    </row>
    <row r="33" spans="1:3">
      <c r="A33" s="329"/>
      <c r="B33" s="329"/>
      <c r="C33" s="43"/>
    </row>
    <row r="34" spans="1:3" ht="16.2" customHeight="1">
      <c r="A34" s="370"/>
      <c r="B34" s="366"/>
      <c r="C34" s="330"/>
    </row>
    <row r="35" spans="1:3">
      <c r="A35" s="370"/>
      <c r="B35" s="366"/>
      <c r="C35" s="330"/>
    </row>
    <row r="36" spans="1:3">
      <c r="A36" s="43"/>
      <c r="B36" s="43"/>
      <c r="C36" s="43"/>
    </row>
    <row r="37" spans="1:3">
      <c r="A37" s="367"/>
      <c r="B37" s="367"/>
      <c r="C37" s="330"/>
    </row>
    <row r="38" spans="1:3">
      <c r="A38" s="367"/>
      <c r="B38" s="367"/>
      <c r="C38" s="330"/>
    </row>
    <row r="39" spans="1:3">
      <c r="A39" s="367"/>
      <c r="B39" s="367"/>
      <c r="C39" s="330"/>
    </row>
    <row r="45" spans="1:3">
      <c r="A45" s="366"/>
    </row>
    <row r="46" spans="1:3">
      <c r="A46" s="366"/>
    </row>
    <row r="47" spans="1:3">
      <c r="A47" s="366"/>
    </row>
    <row r="48" spans="1:3">
      <c r="A48" s="331"/>
      <c r="B48" s="332"/>
      <c r="C48" s="332"/>
    </row>
    <row r="49" spans="1:3">
      <c r="A49" s="331"/>
      <c r="B49" s="332"/>
      <c r="C49" s="332"/>
    </row>
    <row r="50" spans="1:3">
      <c r="A50" s="331"/>
      <c r="B50" s="332"/>
      <c r="C50" s="332"/>
    </row>
    <row r="51" spans="1:3">
      <c r="A51" s="331"/>
      <c r="B51" s="332"/>
      <c r="C51" s="332"/>
    </row>
  </sheetData>
  <sheetProtection algorithmName="SHA-512" hashValue="s1jA028w9YgVQ7vZTd2t12JSrUqunN1k2i4Mj2FukEKqBF1KcY/eupXI93RwVS7Fgcin2ePvxcA7q3ZDbFhF4g==" saltValue="LtuWCFpy0GcS2Xbouyvnww==" spinCount="100000" sheet="1" objects="1" scenarios="1" formatCells="0" formatColumns="0" formatRows="0" insertRows="0" insertHyperlinks="0" sort="0" autoFilter="0" pivotTables="0"/>
  <mergeCells count="9">
    <mergeCell ref="A45:A47"/>
    <mergeCell ref="A37:A39"/>
    <mergeCell ref="B37:B39"/>
    <mergeCell ref="B26:B28"/>
    <mergeCell ref="A26:A28"/>
    <mergeCell ref="A30:A32"/>
    <mergeCell ref="B30:B32"/>
    <mergeCell ref="B34:B35"/>
    <mergeCell ref="A34:A35"/>
  </mergeCells>
  <pageMargins left="0.7" right="0.7" top="0.75" bottom="0.75" header="0.3" footer="0.3"/>
  <pageSetup paperSize="9"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EB244-D4A7-4721-85B1-C41B739CF079}">
  <dimension ref="A1:Z55"/>
  <sheetViews>
    <sheetView topLeftCell="A7" zoomScale="70" zoomScaleNormal="70" workbookViewId="0">
      <selection activeCell="X7" sqref="X7"/>
    </sheetView>
  </sheetViews>
  <sheetFormatPr baseColWidth="10" defaultColWidth="8.88671875" defaultRowHeight="14.4"/>
  <cols>
    <col min="1" max="1" width="25.6640625" style="47" customWidth="1"/>
    <col min="2" max="3" width="14.6640625" style="47" customWidth="1"/>
    <col min="4" max="4" width="14.6640625" style="150" customWidth="1"/>
    <col min="5" max="5" width="15.5546875" style="47" customWidth="1"/>
    <col min="6" max="6" width="13.33203125" style="47" customWidth="1"/>
    <col min="7" max="7" width="16.44140625" style="47" customWidth="1"/>
    <col min="8" max="19" width="8.88671875" style="47"/>
    <col min="20" max="20" width="24.109375" style="47" customWidth="1"/>
    <col min="21" max="21" width="16.6640625" style="47" customWidth="1"/>
    <col min="22" max="22" width="13" style="47" customWidth="1"/>
    <col min="23" max="16384" width="8.88671875" style="47"/>
  </cols>
  <sheetData>
    <row r="1" spans="1:26" s="658" customFormat="1">
      <c r="A1" s="663"/>
      <c r="B1" s="664" t="s">
        <v>348</v>
      </c>
      <c r="C1" s="664" t="s">
        <v>418</v>
      </c>
      <c r="D1" s="664" t="s">
        <v>419</v>
      </c>
      <c r="E1" s="665"/>
      <c r="F1" s="665" t="s">
        <v>426</v>
      </c>
      <c r="G1" s="665" t="s">
        <v>427</v>
      </c>
      <c r="H1" s="47"/>
      <c r="I1" s="47"/>
      <c r="J1" s="47"/>
      <c r="K1" s="47"/>
      <c r="L1" s="47"/>
      <c r="M1" s="47"/>
      <c r="N1" s="47"/>
      <c r="O1" s="47"/>
      <c r="P1" s="47"/>
      <c r="Q1" s="47"/>
      <c r="R1" s="47"/>
      <c r="Z1" s="47"/>
    </row>
    <row r="2" spans="1:26">
      <c r="A2" s="663"/>
      <c r="B2" s="665" t="str">
        <f ca="1">IFERROR(IF('6. Analyse Pareto'!B4="","",'6. Analyse Pareto'!B4),"")</f>
        <v>Marmelade agrumes</v>
      </c>
      <c r="C2" s="666">
        <f ca="1">IFERROR(IF('6. Analyse Pareto'!B4="",NA(),'6. Analyse Pareto'!C4),NA())</f>
        <v>93599.226415094337</v>
      </c>
      <c r="D2" s="667">
        <f ca="1">IFERROR(IF('6. Analyse Pareto'!B4="",NA(),'6. Analyse Pareto'!F4),NA())</f>
        <v>0.7489054246358493</v>
      </c>
      <c r="E2" s="665"/>
      <c r="F2" s="665">
        <f ca="1">C20</f>
        <v>22922.594339622639</v>
      </c>
      <c r="G2" s="665">
        <f ca="1">C24</f>
        <v>0.74225564000582678</v>
      </c>
      <c r="H2" s="659"/>
      <c r="I2" s="659"/>
      <c r="J2" s="659"/>
      <c r="K2" s="659"/>
      <c r="L2" s="659"/>
      <c r="M2" s="659"/>
      <c r="N2" s="659"/>
      <c r="O2" s="659"/>
      <c r="P2" s="659"/>
      <c r="Q2" s="659"/>
      <c r="R2" s="659"/>
    </row>
    <row r="3" spans="1:26">
      <c r="A3" s="663"/>
      <c r="B3" s="665" t="str">
        <f ca="1">IFERROR(IF('6. Analyse Pareto'!B5="","",'6. Analyse Pareto'!B5),"")</f>
        <v>Chutney carottes</v>
      </c>
      <c r="C3" s="666">
        <f ca="1">IFERROR(IF('6. Analyse Pareto'!B5="",NA(),'6. Analyse Pareto'!C5),NA())</f>
        <v>14212.433962264151</v>
      </c>
      <c r="D3" s="667">
        <f ca="1">IFERROR(IF('6. Analyse Pareto'!B5="",NA(),'6. Analyse Pareto'!F5),NA())</f>
        <v>0.74844868478910387</v>
      </c>
      <c r="E3" s="665"/>
      <c r="F3" s="665">
        <f ca="1">C20</f>
        <v>22922.594339622639</v>
      </c>
      <c r="G3" s="665">
        <f ca="1">C25</f>
        <v>0.7489054246358493</v>
      </c>
      <c r="H3" s="659"/>
      <c r="I3" s="659"/>
      <c r="J3" s="659"/>
      <c r="K3" s="659"/>
      <c r="L3" s="659"/>
      <c r="M3" s="659"/>
      <c r="N3" s="659"/>
      <c r="O3" s="659"/>
      <c r="P3" s="659"/>
      <c r="Q3" s="659"/>
      <c r="R3" s="659"/>
    </row>
    <row r="4" spans="1:26">
      <c r="A4" s="663"/>
      <c r="B4" s="665" t="str">
        <f ca="1">IFERROR(IF('6. Analyse Pareto'!B6="","",'6. Analyse Pareto'!B6),"")</f>
        <v>Bolognaise</v>
      </c>
      <c r="C4" s="666">
        <f ca="1">IFERROR(IF('6. Analyse Pareto'!B6="",NA(),'6. Analyse Pareto'!C6),NA())</f>
        <v>11369.622641509435</v>
      </c>
      <c r="D4" s="667">
        <f ca="1">IFERROR(IF('6. Analyse Pareto'!B6="",NA(),'6. Analyse Pareto'!F6),NA())</f>
        <v>0.74225564000582678</v>
      </c>
      <c r="E4" s="665"/>
      <c r="F4" s="665"/>
      <c r="G4" s="665"/>
    </row>
    <row r="5" spans="1:26">
      <c r="A5" s="663"/>
      <c r="B5" s="665" t="str">
        <f ca="1">IFERROR(IF('6. Analyse Pareto'!B7="","",'6. Analyse Pareto'!B7),"")</f>
        <v>Coulis de tomate</v>
      </c>
      <c r="C5" s="666">
        <f ca="1">IFERROR(IF('6. Analyse Pareto'!B7="",NA(),'6. Analyse Pareto'!C7),NA())</f>
        <v>9542.6226415094352</v>
      </c>
      <c r="D5" s="667">
        <f ca="1">IFERROR(IF('6. Analyse Pareto'!B7="",NA(),'6. Analyse Pareto'!F7),NA())</f>
        <v>0.74818515817041531</v>
      </c>
      <c r="E5" s="665"/>
      <c r="F5" s="665" t="s">
        <v>428</v>
      </c>
      <c r="G5" s="665" t="s">
        <v>429</v>
      </c>
    </row>
    <row r="6" spans="1:26">
      <c r="A6" s="663"/>
      <c r="B6" s="665" t="str">
        <f ca="1">IFERROR(IF('6. Analyse Pareto'!B8="","",'6. Analyse Pareto'!B8),"")</f>
        <v>Pickels légumes</v>
      </c>
      <c r="C6" s="666">
        <f ca="1">IFERROR(IF('6. Analyse Pareto'!B8="",NA(),'6. Analyse Pareto'!C8),NA())</f>
        <v>4872.8113207547176</v>
      </c>
      <c r="D6" s="667">
        <f ca="1">IFERROR(IF('6. Analyse Pareto'!B8="",NA(),'6. Analyse Pareto'!F8),NA())</f>
        <v>0.74741653520948614</v>
      </c>
      <c r="E6" s="665"/>
      <c r="F6" s="665">
        <f ca="1">C22</f>
        <v>3938.8490566037735</v>
      </c>
      <c r="G6" s="665">
        <f ca="1">C21</f>
        <v>0.74704259175052956</v>
      </c>
    </row>
    <row r="7" spans="1:26">
      <c r="A7" s="663"/>
      <c r="B7" s="665" t="str">
        <f ca="1">IFERROR(IF('6. Analyse Pareto'!B9="","",'6. Analyse Pareto'!B9),"")</f>
        <v>Potage legume feuille</v>
      </c>
      <c r="C7" s="666">
        <f ca="1">IFERROR(IF('6. Analyse Pareto'!B9="",NA(),'6. Analyse Pareto'!C9),NA())</f>
        <v>3938.8490566037735</v>
      </c>
      <c r="D7" s="667">
        <f ca="1">IFERROR(IF('6. Analyse Pareto'!B9="",NA(),'6. Analyse Pareto'!F9),NA())</f>
        <v>0.74704410769249607</v>
      </c>
      <c r="E7" s="665"/>
      <c r="F7" s="665">
        <f ca="1">C23</f>
        <v>93599.226415094337</v>
      </c>
      <c r="G7" s="665">
        <f ca="1">C21</f>
        <v>0.74704259175052956</v>
      </c>
    </row>
    <row r="8" spans="1:26">
      <c r="A8" s="663"/>
      <c r="B8" s="665" t="str">
        <f>IFERROR(IF('6. Analyse Pareto'!B10="","",'6. Analyse Pareto'!B10),"")</f>
        <v/>
      </c>
      <c r="C8" s="666" t="e">
        <f>IFERROR(IF('6. Analyse Pareto'!B10="",NA(),'6. Analyse Pareto'!C10),NA())</f>
        <v>#N/A</v>
      </c>
      <c r="D8" s="667" t="e">
        <f>IFERROR(IF('6. Analyse Pareto'!B10="",NA(),'6. Analyse Pareto'!F10),NA())</f>
        <v>#N/A</v>
      </c>
      <c r="E8" s="665"/>
      <c r="F8" s="665"/>
      <c r="G8" s="665"/>
    </row>
    <row r="9" spans="1:26">
      <c r="A9" s="663"/>
      <c r="B9" s="665" t="str">
        <f>IFERROR(IF('6. Analyse Pareto'!B11="","",'6. Analyse Pareto'!B11),"")</f>
        <v/>
      </c>
      <c r="C9" s="666" t="e">
        <f>IFERROR(IF('6. Analyse Pareto'!B11="",NA(),'6. Analyse Pareto'!C11),NA())</f>
        <v>#N/A</v>
      </c>
      <c r="D9" s="667" t="e">
        <f>IFERROR(IF('6. Analyse Pareto'!B11="",NA(),'6. Analyse Pareto'!F11),NA())</f>
        <v>#N/A</v>
      </c>
      <c r="E9" s="665"/>
      <c r="F9" s="665"/>
      <c r="G9" s="665"/>
    </row>
    <row r="10" spans="1:26">
      <c r="A10" s="663"/>
      <c r="B10" s="665" t="str">
        <f>IFERROR(IF('6. Analyse Pareto'!B12="","",'6. Analyse Pareto'!B12),"")</f>
        <v/>
      </c>
      <c r="C10" s="666" t="e">
        <f>IFERROR(IF('6. Analyse Pareto'!B12="",NA(),'6. Analyse Pareto'!C12),NA())</f>
        <v>#N/A</v>
      </c>
      <c r="D10" s="667" t="e">
        <f>IFERROR(IF('6. Analyse Pareto'!B12="",NA(),'6. Analyse Pareto'!F12),NA())</f>
        <v>#N/A</v>
      </c>
      <c r="E10" s="665"/>
      <c r="F10" s="665"/>
      <c r="G10" s="665"/>
    </row>
    <row r="11" spans="1:26">
      <c r="A11" s="663"/>
      <c r="B11" s="665" t="str">
        <f>IFERROR(IF('6. Analyse Pareto'!B13="","",'6. Analyse Pareto'!B13),"")</f>
        <v/>
      </c>
      <c r="C11" s="666" t="e">
        <f>IFERROR(IF('6. Analyse Pareto'!B13="",NA(),'6. Analyse Pareto'!C13),NA())</f>
        <v>#N/A</v>
      </c>
      <c r="D11" s="667" t="e">
        <f>IFERROR(IF('6. Analyse Pareto'!B13="",NA(),'6. Analyse Pareto'!F13),NA())</f>
        <v>#N/A</v>
      </c>
      <c r="E11" s="665"/>
      <c r="F11" s="665"/>
      <c r="G11" s="665"/>
    </row>
    <row r="12" spans="1:26">
      <c r="A12" s="663"/>
      <c r="B12" s="665" t="str">
        <f>IFERROR(IF('6. Analyse Pareto'!B14="","",'6. Analyse Pareto'!B14),"")</f>
        <v/>
      </c>
      <c r="C12" s="666" t="e">
        <f>IFERROR(IF('6. Analyse Pareto'!B14="",NA(),'6. Analyse Pareto'!C14),NA())</f>
        <v>#N/A</v>
      </c>
      <c r="D12" s="667" t="e">
        <f>IFERROR(IF('6. Analyse Pareto'!B14="",NA(),'6. Analyse Pareto'!F14),NA())</f>
        <v>#N/A</v>
      </c>
      <c r="E12" s="665"/>
      <c r="F12" s="665"/>
      <c r="G12" s="665"/>
    </row>
    <row r="13" spans="1:26">
      <c r="A13" s="663"/>
      <c r="B13" s="665" t="str">
        <f>IFERROR(IF('6. Analyse Pareto'!B15="","",'6. Analyse Pareto'!B15),"")</f>
        <v/>
      </c>
      <c r="C13" s="666" t="e">
        <f>IFERROR(IF('6. Analyse Pareto'!B15="",NA(),'6. Analyse Pareto'!C15),NA())</f>
        <v>#N/A</v>
      </c>
      <c r="D13" s="667" t="e">
        <f>IFERROR(IF('6. Analyse Pareto'!B15="",NA(),'6. Analyse Pareto'!F15),NA())</f>
        <v>#N/A</v>
      </c>
      <c r="E13" s="665"/>
      <c r="F13" s="665"/>
      <c r="G13" s="665"/>
    </row>
    <row r="14" spans="1:26">
      <c r="A14" s="663"/>
      <c r="B14" s="665" t="str">
        <f>IFERROR(IF('6. Analyse Pareto'!B16="","",'6. Analyse Pareto'!B16),"")</f>
        <v/>
      </c>
      <c r="C14" s="666" t="e">
        <f>IFERROR(IF('6. Analyse Pareto'!B16="",NA(),'6. Analyse Pareto'!C16),NA())</f>
        <v>#N/A</v>
      </c>
      <c r="D14" s="667" t="e">
        <f>IFERROR(IF('6. Analyse Pareto'!B16="",NA(),'6. Analyse Pareto'!F16),NA())</f>
        <v>#N/A</v>
      </c>
      <c r="E14" s="665"/>
      <c r="F14" s="665"/>
      <c r="G14" s="665"/>
    </row>
    <row r="15" spans="1:26">
      <c r="A15" s="663"/>
      <c r="B15" s="665" t="str">
        <f>IFERROR(IF('6. Analyse Pareto'!B17="","",'6. Analyse Pareto'!B17),"")</f>
        <v/>
      </c>
      <c r="C15" s="666" t="e">
        <f>IFERROR(IF('6. Analyse Pareto'!B17="",NA(),'6. Analyse Pareto'!C17),NA())</f>
        <v>#N/A</v>
      </c>
      <c r="D15" s="667" t="e">
        <f>IFERROR(IF('6. Analyse Pareto'!B17="",NA(),'6. Analyse Pareto'!F17),NA())</f>
        <v>#N/A</v>
      </c>
      <c r="E15" s="665"/>
      <c r="F15" s="665"/>
      <c r="G15" s="665"/>
    </row>
    <row r="16" spans="1:26">
      <c r="A16" s="663"/>
      <c r="B16" s="665" t="str">
        <f>IFERROR(IF('6. Analyse Pareto'!B18="","",'6. Analyse Pareto'!B18),"")</f>
        <v/>
      </c>
      <c r="C16" s="666" t="e">
        <f>IFERROR(IF('6. Analyse Pareto'!B18="",NA(),'6. Analyse Pareto'!C18),NA())</f>
        <v>#N/A</v>
      </c>
      <c r="D16" s="667" t="e">
        <f>IFERROR(IF('6. Analyse Pareto'!B18="",NA(),'6. Analyse Pareto'!F18),NA())</f>
        <v>#N/A</v>
      </c>
      <c r="E16" s="665"/>
      <c r="F16" s="665"/>
      <c r="G16" s="665"/>
    </row>
    <row r="17" spans="1:7">
      <c r="A17" s="663"/>
      <c r="B17" s="665" t="str">
        <f>IFERROR(IF('6. Analyse Pareto'!B19="","",'6. Analyse Pareto'!B19),"")</f>
        <v/>
      </c>
      <c r="C17" s="666" t="e">
        <f>IFERROR(IF('6. Analyse Pareto'!B19="",NA(),'6. Analyse Pareto'!C19),NA())</f>
        <v>#N/A</v>
      </c>
      <c r="D17" s="667" t="e">
        <f>IFERROR(IF('6. Analyse Pareto'!B19="",NA(),'6. Analyse Pareto'!F19),NA())</f>
        <v>#N/A</v>
      </c>
      <c r="E17" s="665"/>
      <c r="F17" s="665"/>
      <c r="G17" s="665"/>
    </row>
    <row r="18" spans="1:7">
      <c r="A18" s="663"/>
      <c r="B18" s="665"/>
      <c r="C18" s="665"/>
      <c r="D18" s="665"/>
      <c r="E18" s="665"/>
      <c r="F18" s="665"/>
      <c r="G18" s="665"/>
    </row>
    <row r="19" spans="1:7">
      <c r="A19" s="665"/>
      <c r="B19" s="665"/>
      <c r="C19" s="665"/>
      <c r="D19" s="665"/>
      <c r="E19" s="665"/>
      <c r="F19" s="665"/>
      <c r="G19" s="665"/>
    </row>
    <row r="20" spans="1:7">
      <c r="A20" s="665"/>
      <c r="B20" s="665" t="s">
        <v>420</v>
      </c>
      <c r="C20" s="666">
        <f ca="1">IFERROR(_xlfn.AGGREGATE(1,6,C2:C17),0)</f>
        <v>22922.594339622639</v>
      </c>
      <c r="D20" s="665"/>
      <c r="E20" s="665"/>
      <c r="F20" s="665"/>
      <c r="G20" s="665"/>
    </row>
    <row r="21" spans="1:7">
      <c r="A21" s="665"/>
      <c r="B21" s="665" t="s">
        <v>421</v>
      </c>
      <c r="C21" s="667">
        <f ca="1">IFERROR(_xlfn.AGGREGATE(1,6,D2:D17),0)</f>
        <v>0.74704259175052956</v>
      </c>
      <c r="D21" s="665"/>
      <c r="E21" s="665"/>
      <c r="F21" s="665"/>
      <c r="G21" s="665"/>
    </row>
    <row r="22" spans="1:7">
      <c r="A22" s="665"/>
      <c r="B22" s="665" t="s">
        <v>422</v>
      </c>
      <c r="C22" s="666">
        <f ca="1">IFERROR(_xlfn.AGGREGATE(5,6,C2:C17),0)</f>
        <v>3938.8490566037735</v>
      </c>
      <c r="D22" s="665"/>
      <c r="E22" s="665"/>
      <c r="F22" s="665"/>
      <c r="G22" s="665"/>
    </row>
    <row r="23" spans="1:7">
      <c r="A23" s="665"/>
      <c r="B23" s="665" t="s">
        <v>423</v>
      </c>
      <c r="C23" s="666">
        <f ca="1">IFERROR(_xlfn.AGGREGATE(4,6,C2:C17),0)</f>
        <v>93599.226415094337</v>
      </c>
      <c r="D23" s="665"/>
      <c r="E23" s="665"/>
      <c r="F23" s="665"/>
      <c r="G23" s="665"/>
    </row>
    <row r="24" spans="1:7">
      <c r="A24" s="665"/>
      <c r="B24" s="665" t="s">
        <v>424</v>
      </c>
      <c r="C24" s="667">
        <f ca="1">IFERROR(_xlfn.AGGREGATE(5,6,D2:D17),0)</f>
        <v>0.74225564000582678</v>
      </c>
      <c r="D24" s="665"/>
      <c r="E24" s="665"/>
      <c r="F24" s="665"/>
      <c r="G24" s="665"/>
    </row>
    <row r="25" spans="1:7">
      <c r="A25" s="665"/>
      <c r="B25" s="665" t="s">
        <v>425</v>
      </c>
      <c r="C25" s="667">
        <f ca="1">IFERROR(_xlfn.AGGREGATE(4,6,D2:D17),0)</f>
        <v>0.7489054246358493</v>
      </c>
      <c r="D25" s="665"/>
      <c r="E25" s="665"/>
      <c r="F25" s="665"/>
      <c r="G25" s="665"/>
    </row>
    <row r="26" spans="1:7">
      <c r="A26" s="660"/>
      <c r="B26" s="660"/>
      <c r="C26" s="661"/>
      <c r="D26" s="661"/>
      <c r="E26" s="660"/>
    </row>
    <row r="27" spans="1:7">
      <c r="A27" s="660"/>
      <c r="B27" s="660"/>
      <c r="C27" s="661"/>
      <c r="D27" s="661"/>
      <c r="E27" s="660"/>
    </row>
    <row r="28" spans="1:7">
      <c r="A28" s="660"/>
      <c r="B28" s="660"/>
      <c r="C28" s="661"/>
      <c r="D28" s="661"/>
      <c r="E28" s="660"/>
    </row>
    <row r="29" spans="1:7">
      <c r="A29" s="660"/>
      <c r="B29" s="660"/>
      <c r="C29" s="661"/>
      <c r="D29" s="661"/>
      <c r="E29" s="660"/>
    </row>
    <row r="30" spans="1:7">
      <c r="A30" s="660"/>
      <c r="B30" s="660"/>
      <c r="C30" s="661"/>
      <c r="D30" s="661"/>
      <c r="E30" s="660"/>
    </row>
    <row r="31" spans="1:7">
      <c r="A31" s="660"/>
      <c r="B31" s="660"/>
      <c r="C31" s="661"/>
      <c r="D31" s="661"/>
      <c r="E31" s="660"/>
    </row>
    <row r="32" spans="1:7">
      <c r="A32" s="660"/>
      <c r="B32" s="660"/>
      <c r="C32" s="661"/>
      <c r="D32" s="661"/>
      <c r="E32" s="660"/>
    </row>
    <row r="33" spans="1:5">
      <c r="A33" s="660"/>
      <c r="B33" s="660"/>
      <c r="C33" s="661"/>
      <c r="D33" s="661"/>
      <c r="E33" s="660"/>
    </row>
    <row r="34" spans="1:5">
      <c r="A34" s="660"/>
      <c r="B34" s="660"/>
      <c r="C34" s="661"/>
      <c r="D34" s="661"/>
      <c r="E34" s="660"/>
    </row>
    <row r="35" spans="1:5">
      <c r="A35" s="660"/>
      <c r="B35" s="660"/>
      <c r="C35" s="661"/>
      <c r="D35" s="661"/>
      <c r="E35" s="660"/>
    </row>
    <row r="36" spans="1:5">
      <c r="A36" s="660"/>
      <c r="B36" s="660"/>
      <c r="C36" s="661"/>
      <c r="D36" s="661"/>
      <c r="E36" s="660"/>
    </row>
    <row r="37" spans="1:5">
      <c r="A37" s="660"/>
      <c r="B37" s="660"/>
      <c r="C37" s="661"/>
      <c r="D37" s="661"/>
      <c r="E37" s="660"/>
    </row>
    <row r="38" spans="1:5">
      <c r="A38" s="660"/>
      <c r="B38" s="660"/>
      <c r="C38" s="661"/>
      <c r="D38" s="661"/>
      <c r="E38" s="660"/>
    </row>
    <row r="39" spans="1:5">
      <c r="A39" s="660"/>
      <c r="B39" s="660"/>
      <c r="C39" s="661"/>
      <c r="D39" s="661"/>
      <c r="E39" s="660"/>
    </row>
    <row r="40" spans="1:5">
      <c r="A40" s="660"/>
      <c r="B40" s="660"/>
      <c r="C40" s="660"/>
      <c r="D40" s="662"/>
      <c r="E40" s="660"/>
    </row>
    <row r="41" spans="1:5">
      <c r="A41" s="660"/>
      <c r="B41" s="660"/>
      <c r="C41" s="660"/>
      <c r="D41" s="662"/>
      <c r="E41" s="660"/>
    </row>
    <row r="48" spans="1:5">
      <c r="A48" s="665"/>
      <c r="B48" s="668"/>
      <c r="C48" s="665"/>
      <c r="D48" s="667"/>
    </row>
    <row r="49" spans="1:4">
      <c r="A49" s="665"/>
      <c r="B49" s="32"/>
      <c r="C49" s="665"/>
      <c r="D49" s="667"/>
    </row>
    <row r="50" spans="1:4">
      <c r="A50" s="665"/>
      <c r="B50" s="665"/>
      <c r="C50" s="665"/>
      <c r="D50" s="667"/>
    </row>
    <row r="51" spans="1:4">
      <c r="A51" s="665"/>
      <c r="B51" s="669"/>
      <c r="C51" s="668"/>
      <c r="D51" s="667"/>
    </row>
    <row r="52" spans="1:4">
      <c r="A52" s="665"/>
      <c r="B52" s="668"/>
      <c r="C52" s="668"/>
      <c r="D52" s="667"/>
    </row>
    <row r="53" spans="1:4">
      <c r="A53" s="665"/>
      <c r="B53" s="665"/>
      <c r="C53" s="665"/>
      <c r="D53" s="667"/>
    </row>
    <row r="54" spans="1:4">
      <c r="A54" s="665"/>
      <c r="B54" s="668"/>
      <c r="C54" s="669"/>
      <c r="D54" s="667"/>
    </row>
    <row r="55" spans="1:4">
      <c r="A55" s="665"/>
      <c r="B55" s="668"/>
      <c r="C55" s="669"/>
      <c r="D55" s="667"/>
    </row>
  </sheetData>
  <sheetProtection algorithmName="SHA-512" hashValue="70SW4c6TZYN6SzQ8PQ5vfijyQ3fOojrgRt2AaLyByz+kbCBecCfLSdEY3Yll9/g8mGM3MniBf4MIi+ZJnaWENg==" saltValue="wdhBYxgK5KVycO4w5VNH7A==" spinCount="100000" sheet="1" objects="1" scenarios="1" formatCells="0" formatColumns="0" formatRows="0" insertRows="0" insertHyperlinks="0" sort="0" autoFilter="0" pivotTables="0"/>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19C2E-79A1-4B52-B185-E41A8B4B9D71}">
  <dimension ref="A1:Z110"/>
  <sheetViews>
    <sheetView topLeftCell="A44" zoomScale="85" zoomScaleNormal="85" workbookViewId="0">
      <selection activeCell="A19" sqref="A19:A30"/>
    </sheetView>
  </sheetViews>
  <sheetFormatPr baseColWidth="10" defaultRowHeight="14.4" outlineLevelCol="1"/>
  <cols>
    <col min="1" max="1" width="35.33203125" style="47" customWidth="1"/>
    <col min="2" max="2" width="18.5546875" style="47" customWidth="1"/>
    <col min="3" max="4" width="16.6640625" style="47" customWidth="1"/>
    <col min="5" max="5" width="13.88671875" style="47" customWidth="1"/>
    <col min="6" max="9" width="11.5546875" style="47"/>
    <col min="10" max="10" width="11.5546875" style="47" hidden="1" customWidth="1" outlineLevel="1"/>
    <col min="11" max="11" width="12.88671875" style="47" hidden="1" customWidth="1" outlineLevel="1"/>
    <col min="12" max="17" width="11.5546875" style="47" hidden="1" customWidth="1" outlineLevel="1"/>
    <col min="18" max="18" width="11.5546875" style="47" collapsed="1"/>
    <col min="19" max="20" width="11.5546875" style="47"/>
    <col min="21" max="21" width="14.44140625" style="47" bestFit="1" customWidth="1"/>
    <col min="22" max="16384" width="11.5546875" style="47"/>
  </cols>
  <sheetData>
    <row r="1" spans="1:23" ht="14.4" customHeight="1">
      <c r="A1" s="670"/>
      <c r="B1" s="671" t="s">
        <v>528</v>
      </c>
      <c r="C1" s="671"/>
      <c r="D1" s="671"/>
      <c r="E1" s="671"/>
      <c r="F1" s="671"/>
      <c r="G1" s="671"/>
      <c r="H1" s="671"/>
      <c r="I1" s="671"/>
      <c r="J1" s="671"/>
      <c r="K1" s="671"/>
      <c r="L1" s="671"/>
      <c r="M1" s="671"/>
      <c r="N1" s="671"/>
      <c r="O1" s="671"/>
      <c r="P1" s="671"/>
      <c r="Q1" s="671"/>
      <c r="R1" s="672"/>
    </row>
    <row r="2" spans="1:23" ht="22.8" customHeight="1">
      <c r="A2" s="670"/>
      <c r="B2" s="671"/>
      <c r="C2" s="671"/>
      <c r="D2" s="671"/>
      <c r="E2" s="671"/>
      <c r="F2" s="671"/>
      <c r="G2" s="671"/>
      <c r="H2" s="671"/>
      <c r="I2" s="671"/>
      <c r="J2" s="671"/>
      <c r="K2" s="671"/>
      <c r="L2" s="671"/>
      <c r="M2" s="671"/>
      <c r="N2" s="671"/>
      <c r="O2" s="671"/>
      <c r="P2" s="671"/>
      <c r="Q2" s="671"/>
      <c r="R2" s="672"/>
    </row>
    <row r="3" spans="1:23" ht="37.799999999999997" customHeight="1">
      <c r="A3" s="709" t="s">
        <v>192</v>
      </c>
      <c r="B3" s="709" t="s">
        <v>394</v>
      </c>
      <c r="C3" s="710" t="s">
        <v>292</v>
      </c>
      <c r="D3" s="711" t="s">
        <v>293</v>
      </c>
      <c r="E3" s="711" t="s">
        <v>294</v>
      </c>
      <c r="F3" s="711" t="s">
        <v>295</v>
      </c>
      <c r="G3" s="712" t="s">
        <v>296</v>
      </c>
      <c r="H3" s="711" t="s">
        <v>297</v>
      </c>
      <c r="I3" s="711" t="s">
        <v>298</v>
      </c>
      <c r="J3" s="711" t="s">
        <v>299</v>
      </c>
      <c r="K3" s="712" t="s">
        <v>300</v>
      </c>
      <c r="L3" s="711" t="s">
        <v>301</v>
      </c>
      <c r="M3" s="711" t="s">
        <v>302</v>
      </c>
      <c r="N3" s="711" t="s">
        <v>303</v>
      </c>
      <c r="O3" s="711" t="s">
        <v>304</v>
      </c>
      <c r="P3" s="711" t="s">
        <v>305</v>
      </c>
      <c r="Q3" s="711" t="s">
        <v>306</v>
      </c>
      <c r="R3" s="711" t="s">
        <v>307</v>
      </c>
      <c r="S3" s="155"/>
      <c r="T3" s="125"/>
      <c r="U3" s="125"/>
    </row>
    <row r="4" spans="1:23" ht="27.6" customHeight="1">
      <c r="A4" s="645" t="s">
        <v>23</v>
      </c>
      <c r="B4" s="645" t="str">
        <f>IFERROR(_xlfn.XLOOKUP(A4,Listes!$F$2:$F$46,Listes!$G$2:$G$46,""),"")</f>
        <v>C3</v>
      </c>
      <c r="C4" s="647" t="str" cm="1">
        <f t="array" aca="1" ref="C4" ca="1">IFERROR(INDIRECT("'" &amp; C$3 &amp; "'!" &amp; $B4),"")</f>
        <v>Coulis de tomate</v>
      </c>
      <c r="D4" s="647" t="str" cm="1">
        <f t="array" aca="1" ref="D4" ca="1">IFERROR(INDIRECT("'" &amp; D$3 &amp; "'!" &amp; $B4),"")</f>
        <v>Pickels légumes</v>
      </c>
      <c r="E4" s="647" t="str" cm="1">
        <f t="array" aca="1" ref="E4" ca="1">IFERROR(INDIRECT("'" &amp; E$3 &amp; "'!" &amp; $B4),"")</f>
        <v>Potage legume feuille</v>
      </c>
      <c r="F4" s="647" t="str" cm="1">
        <f t="array" aca="1" ref="F4" ca="1">IFERROR(INDIRECT("'" &amp; F$3 &amp; "'!" &amp; $B4),"")</f>
        <v>Bolognaise</v>
      </c>
      <c r="G4" s="647" t="str" cm="1">
        <f t="array" aca="1" ref="G4" ca="1">IFERROR(INDIRECT("'" &amp; G$3 &amp; "'!" &amp; $B4),"")</f>
        <v>Chutney carottes</v>
      </c>
      <c r="H4" s="647" t="str" cm="1">
        <f t="array" aca="1" ref="H4" ca="1">IFERROR(INDIRECT("'" &amp; H$3 &amp; "'!" &amp; $B4),"")</f>
        <v>Marmelade agrumes</v>
      </c>
      <c r="I4" s="647" t="str" cm="1">
        <f t="array" aca="1" ref="I4" ca="1">IFERROR(INDIRECT("'" &amp; I$3 &amp; "'!" &amp; $B4),"")</f>
        <v>Sirop menthe</v>
      </c>
      <c r="J4" s="647" t="str" cm="1">
        <f t="array" aca="1" ref="J4" ca="1">IFERROR(INDIRECT("'" &amp; J$3 &amp; "'!" &amp; $B4),"")</f>
        <v>Cornichons</v>
      </c>
      <c r="K4" s="647" t="str" cm="1">
        <f t="array" aca="1" ref="K4" ca="1">IFERROR(INDIRECT("'" &amp; K$3 &amp; "'!" &amp; $B4),"")</f>
        <v/>
      </c>
      <c r="L4" s="647" t="str" cm="1">
        <f t="array" aca="1" ref="L4" ca="1">IFERROR(INDIRECT("'" &amp; L$3 &amp; "'!" &amp; $B4),"")</f>
        <v/>
      </c>
      <c r="M4" s="647" t="str" cm="1">
        <f t="array" aca="1" ref="M4" ca="1">IFERROR(INDIRECT("'" &amp; M$3 &amp; "'!" &amp; $B4),"")</f>
        <v/>
      </c>
      <c r="N4" s="647" t="str" cm="1">
        <f t="array" aca="1" ref="N4" ca="1">IFERROR(INDIRECT("'" &amp; N$3 &amp; "'!" &amp; $B4),"")</f>
        <v/>
      </c>
      <c r="O4" s="647" t="str" cm="1">
        <f t="array" aca="1" ref="O4" ca="1">IFERROR(INDIRECT("'" &amp; O$3 &amp; "'!" &amp; $B4),"")</f>
        <v/>
      </c>
      <c r="P4" s="647" t="str" cm="1">
        <f t="array" aca="1" ref="P4" ca="1">IFERROR(INDIRECT("'" &amp; P$3 &amp; "'!" &amp; $B4),"")</f>
        <v/>
      </c>
      <c r="Q4" s="647" t="str" cm="1">
        <f t="array" aca="1" ref="Q4" ca="1">IFERROR(INDIRECT("'" &amp; Q$3 &amp; "'!" &amp; $B4),"")</f>
        <v/>
      </c>
      <c r="R4" s="647" t="str" cm="1">
        <f t="array" aca="1" ref="R4" ca="1">IFERROR(INDIRECT("'" &amp; R$3 &amp; "'!" &amp; $B4),"")</f>
        <v/>
      </c>
      <c r="S4" s="156"/>
      <c r="T4" s="125"/>
      <c r="U4" s="125"/>
    </row>
    <row r="5" spans="1:23" ht="16.8" customHeight="1">
      <c r="A5" s="645" t="s">
        <v>181</v>
      </c>
      <c r="B5" s="645" t="str">
        <f>IFERROR(_xlfn.XLOOKUP(A5,Listes!$F$2:$F$46,Listes!$G$2:$G$46,""),"")</f>
        <v>D6</v>
      </c>
      <c r="C5" s="647" cm="1">
        <f t="array" aca="1" ref="C5" ca="1">IFERROR(INDIRECT("'" &amp; C$3 &amp; "'!" &amp; $B5),"")</f>
        <v>0.2</v>
      </c>
      <c r="D5" s="647" cm="1">
        <f t="array" aca="1" ref="D5" ca="1">IFERROR(INDIRECT("'" &amp; D$3 &amp; "'!" &amp; $B5),"")</f>
        <v>0.2</v>
      </c>
      <c r="E5" s="647" cm="1">
        <f t="array" aca="1" ref="E5" ca="1">IFERROR(INDIRECT("'" &amp; E$3 &amp; "'!" &amp; $B5),"")</f>
        <v>0.2</v>
      </c>
      <c r="F5" s="647" cm="1">
        <f t="array" aca="1" ref="F5" ca="1">IFERROR(INDIRECT("'" &amp; F$3 &amp; "'!" &amp; $B5),"")</f>
        <v>0.2</v>
      </c>
      <c r="G5" s="647" cm="1">
        <f t="array" aca="1" ref="G5" ca="1">IFERROR(INDIRECT("'" &amp; G$3 &amp; "'!" &amp; $B5),"")</f>
        <v>0.2</v>
      </c>
      <c r="H5" s="647" cm="1">
        <f t="array" aca="1" ref="H5" ca="1">IFERROR(INDIRECT("'" &amp; H$3 &amp; "'!" &amp; $B5),"")</f>
        <v>0.2</v>
      </c>
      <c r="I5" s="647" cm="1">
        <f t="array" aca="1" ref="I5" ca="1">IFERROR(INDIRECT("'" &amp; I$3 &amp; "'!" &amp; $B5),"")</f>
        <v>0.2</v>
      </c>
      <c r="J5" s="647" cm="1">
        <f t="array" aca="1" ref="J5" ca="1">IFERROR(INDIRECT("'" &amp; J$3 &amp; "'!" &amp; $B5),"")</f>
        <v>0.2</v>
      </c>
      <c r="K5" s="647" t="str" cm="1">
        <f t="array" aca="1" ref="K5" ca="1">IFERROR(INDIRECT("'" &amp; K$3 &amp; "'!" &amp; $B5),"")</f>
        <v/>
      </c>
      <c r="L5" s="647" t="str" cm="1">
        <f t="array" aca="1" ref="L5" ca="1">IFERROR(INDIRECT("'" &amp; L$3 &amp; "'!" &amp; $B5),"")</f>
        <v/>
      </c>
      <c r="M5" s="647" t="str" cm="1">
        <f t="array" aca="1" ref="M5" ca="1">IFERROR(INDIRECT("'" &amp; M$3 &amp; "'!" &amp; $B5),"")</f>
        <v/>
      </c>
      <c r="N5" s="647" t="str" cm="1">
        <f t="array" aca="1" ref="N5" ca="1">IFERROR(INDIRECT("'" &amp; N$3 &amp; "'!" &amp; $B5),"")</f>
        <v/>
      </c>
      <c r="O5" s="647" t="str" cm="1">
        <f t="array" aca="1" ref="O5" ca="1">IFERROR(INDIRECT("'" &amp; O$3 &amp; "'!" &amp; $B5),"")</f>
        <v/>
      </c>
      <c r="P5" s="647" t="str" cm="1">
        <f t="array" aca="1" ref="P5" ca="1">IFERROR(INDIRECT("'" &amp; P$3 &amp; "'!" &amp; $B5),"")</f>
        <v/>
      </c>
      <c r="Q5" s="647" t="str" cm="1">
        <f t="array" aca="1" ref="Q5" ca="1">IFERROR(INDIRECT("'" &amp; Q$3 &amp; "'!" &amp; $B5),"")</f>
        <v/>
      </c>
      <c r="R5" s="647" t="str" cm="1">
        <f t="array" aca="1" ref="R5" ca="1">IFERROR(INDIRECT("'" &amp; R$3 &amp; "'!" &amp; $B5),"")</f>
        <v/>
      </c>
      <c r="S5" s="156"/>
      <c r="T5" s="125"/>
      <c r="U5" s="125"/>
    </row>
    <row r="6" spans="1:23">
      <c r="A6" s="645" t="s">
        <v>182</v>
      </c>
      <c r="B6" s="645" t="str">
        <f>IFERROR(_xlfn.XLOOKUP(A6,Listes!$F$2:$F$46,Listes!$G$2:$G$46,""),"")</f>
        <v>D5</v>
      </c>
      <c r="C6" s="647" cm="1">
        <f t="array" aca="1" ref="C6" ca="1">IFERROR(INDIRECT("'" &amp; C$3 &amp; "'!" &amp; $B6),"")</f>
        <v>50</v>
      </c>
      <c r="D6" s="647" cm="1">
        <f t="array" aca="1" ref="D6" ca="1">IFERROR(INDIRECT("'" &amp; D$3 &amp; "'!" &amp; $B6),"")</f>
        <v>50</v>
      </c>
      <c r="E6" s="647" cm="1">
        <f t="array" aca="1" ref="E6" ca="1">IFERROR(INDIRECT("'" &amp; E$3 &amp; "'!" &amp; $B6),"")</f>
        <v>50</v>
      </c>
      <c r="F6" s="647" cm="1">
        <f t="array" aca="1" ref="F6" ca="1">IFERROR(INDIRECT("'" &amp; F$3 &amp; "'!" &amp; $B6),"")</f>
        <v>50</v>
      </c>
      <c r="G6" s="647" cm="1">
        <f t="array" aca="1" ref="G6" ca="1">IFERROR(INDIRECT("'" &amp; G$3 &amp; "'!" &amp; $B6),"")</f>
        <v>50</v>
      </c>
      <c r="H6" s="647" cm="1">
        <f t="array" aca="1" ref="H6" ca="1">IFERROR(INDIRECT("'" &amp; H$3 &amp; "'!" &amp; $B6),"")</f>
        <v>50</v>
      </c>
      <c r="I6" s="647" cm="1">
        <f t="array" aca="1" ref="I6" ca="1">IFERROR(INDIRECT("'" &amp; I$3 &amp; "'!" &amp; $B6),"")</f>
        <v>50</v>
      </c>
      <c r="J6" s="647" cm="1">
        <f t="array" aca="1" ref="J6" ca="1">IFERROR(INDIRECT("'" &amp; J$3 &amp; "'!" &amp; $B6),"")</f>
        <v>50</v>
      </c>
      <c r="K6" s="647" t="str" cm="1">
        <f t="array" aca="1" ref="K6" ca="1">IFERROR(INDIRECT("'" &amp; K$3 &amp; "'!" &amp; $B6),"")</f>
        <v/>
      </c>
      <c r="L6" s="647" t="str" cm="1">
        <f t="array" aca="1" ref="L6" ca="1">IFERROR(INDIRECT("'" &amp; L$3 &amp; "'!" &amp; $B6),"")</f>
        <v/>
      </c>
      <c r="M6" s="647" t="str" cm="1">
        <f t="array" aca="1" ref="M6" ca="1">IFERROR(INDIRECT("'" &amp; M$3 &amp; "'!" &amp; $B6),"")</f>
        <v/>
      </c>
      <c r="N6" s="647" t="str" cm="1">
        <f t="array" aca="1" ref="N6" ca="1">IFERROR(INDIRECT("'" &amp; N$3 &amp; "'!" &amp; $B6),"")</f>
        <v/>
      </c>
      <c r="O6" s="647" t="str" cm="1">
        <f t="array" aca="1" ref="O6" ca="1">IFERROR(INDIRECT("'" &amp; O$3 &amp; "'!" &amp; $B6),"")</f>
        <v/>
      </c>
      <c r="P6" s="647" t="str" cm="1">
        <f t="array" aca="1" ref="P6" ca="1">IFERROR(INDIRECT("'" &amp; P$3 &amp; "'!" &amp; $B6),"")</f>
        <v/>
      </c>
      <c r="Q6" s="647" t="str" cm="1">
        <f t="array" aca="1" ref="Q6" ca="1">IFERROR(INDIRECT("'" &amp; Q$3 &amp; "'!" &amp; $B6),"")</f>
        <v/>
      </c>
      <c r="R6" s="647" t="str" cm="1">
        <f t="array" aca="1" ref="R6" ca="1">IFERROR(INDIRECT("'" &amp; R$3 &amp; "'!" &amp; $B6),"")</f>
        <v/>
      </c>
      <c r="S6" s="156"/>
      <c r="T6" s="125"/>
      <c r="U6" s="125"/>
    </row>
    <row r="7" spans="1:23">
      <c r="A7" s="645" t="s">
        <v>36</v>
      </c>
      <c r="B7" s="645" t="str">
        <f>IFERROR(_xlfn.XLOOKUP(A7,Listes!$F$2:$F$46,Listes!$G$2:$G$46,""),"")</f>
        <v>D8</v>
      </c>
      <c r="C7" s="647" cm="1">
        <f t="array" aca="1" ref="C7" ca="1">IFERROR(INDIRECT("'" &amp; C$3 &amp; "'!" &amp; $B7),"")</f>
        <v>225</v>
      </c>
      <c r="D7" s="647" cm="1">
        <f t="array" aca="1" ref="D7" ca="1">IFERROR(INDIRECT("'" &amp; D$3 &amp; "'!" &amp; $B7),"")</f>
        <v>225</v>
      </c>
      <c r="E7" s="647" cm="1">
        <f t="array" aca="1" ref="E7" ca="1">IFERROR(INDIRECT("'" &amp; E$3 &amp; "'!" &amp; $B7),"")</f>
        <v>225</v>
      </c>
      <c r="F7" s="647" cm="1">
        <f t="array" aca="1" ref="F7" ca="1">IFERROR(INDIRECT("'" &amp; F$3 &amp; "'!" &amp; $B7),"")</f>
        <v>225</v>
      </c>
      <c r="G7" s="647" cm="1">
        <f t="array" aca="1" ref="G7" ca="1">IFERROR(INDIRECT("'" &amp; G$3 &amp; "'!" &amp; $B7),"")</f>
        <v>225</v>
      </c>
      <c r="H7" s="647" cm="1">
        <f t="array" aca="1" ref="H7" ca="1">IFERROR(INDIRECT("'" &amp; H$3 &amp; "'!" &amp; $B7),"")</f>
        <v>225</v>
      </c>
      <c r="I7" s="647" cm="1">
        <f t="array" aca="1" ref="I7" ca="1">IFERROR(INDIRECT("'" &amp; I$3 &amp; "'!" &amp; $B7),"")</f>
        <v>225</v>
      </c>
      <c r="J7" s="647" cm="1">
        <f t="array" aca="1" ref="J7" ca="1">IFERROR(INDIRECT("'" &amp; J$3 &amp; "'!" &amp; $B7),"")</f>
        <v>225</v>
      </c>
      <c r="K7" s="647" t="str" cm="1">
        <f t="array" aca="1" ref="K7" ca="1">IFERROR(INDIRECT("'" &amp; K$3 &amp; "'!" &amp; $B7),"")</f>
        <v/>
      </c>
      <c r="L7" s="647" t="str" cm="1">
        <f t="array" aca="1" ref="L7" ca="1">IFERROR(INDIRECT("'" &amp; L$3 &amp; "'!" &amp; $B7),"")</f>
        <v/>
      </c>
      <c r="M7" s="647" t="str" cm="1">
        <f t="array" aca="1" ref="M7" ca="1">IFERROR(INDIRECT("'" &amp; M$3 &amp; "'!" &amp; $B7),"")</f>
        <v/>
      </c>
      <c r="N7" s="647" t="str" cm="1">
        <f t="array" aca="1" ref="N7" ca="1">IFERROR(INDIRECT("'" &amp; N$3 &amp; "'!" &amp; $B7),"")</f>
        <v/>
      </c>
      <c r="O7" s="647" t="str" cm="1">
        <f t="array" aca="1" ref="O7" ca="1">IFERROR(INDIRECT("'" &amp; O$3 &amp; "'!" &amp; $B7),"")</f>
        <v/>
      </c>
      <c r="P7" s="647" t="str" cm="1">
        <f t="array" aca="1" ref="P7" ca="1">IFERROR(INDIRECT("'" &amp; P$3 &amp; "'!" &amp; $B7),"")</f>
        <v/>
      </c>
      <c r="Q7" s="647" t="str" cm="1">
        <f t="array" aca="1" ref="Q7" ca="1">IFERROR(INDIRECT("'" &amp; Q$3 &amp; "'!" &amp; $B7),"")</f>
        <v/>
      </c>
      <c r="R7" s="647" t="str" cm="1">
        <f t="array" aca="1" ref="R7" ca="1">IFERROR(INDIRECT("'" &amp; R$3 &amp; "'!" &amp; $B7),"")</f>
        <v/>
      </c>
      <c r="S7" s="156"/>
      <c r="T7" s="125"/>
      <c r="U7" s="125"/>
    </row>
    <row r="8" spans="1:23">
      <c r="A8" s="645" t="s">
        <v>471</v>
      </c>
      <c r="B8" s="645" t="str">
        <f>IFERROR(_xlfn.XLOOKUP(A8,Listes!$F$2:$F$46,Listes!$G$2:$G$46,""),"")</f>
        <v>C73</v>
      </c>
      <c r="C8" s="647" cm="1">
        <f t="array" aca="1" ref="C8" ca="1">IFERROR(INDIRECT("'" &amp; C$3 &amp; "'!" &amp; $B8),"")</f>
        <v>288</v>
      </c>
      <c r="D8" s="647" cm="1">
        <f t="array" aca="1" ref="D8" ca="1">IFERROR(INDIRECT("'" &amp; D$3 &amp; "'!" &amp; $B8),"")</f>
        <v>288</v>
      </c>
      <c r="E8" s="647" cm="1">
        <f t="array" aca="1" ref="E8" ca="1">IFERROR(INDIRECT("'" &amp; E$3 &amp; "'!" &amp; $B8),"")</f>
        <v>288</v>
      </c>
      <c r="F8" s="647" cm="1">
        <f t="array" aca="1" ref="F8" ca="1">IFERROR(INDIRECT("'" &amp; F$3 &amp; "'!" &amp; $B8),"")</f>
        <v>288</v>
      </c>
      <c r="G8" s="647" cm="1">
        <f t="array" aca="1" ref="G8" ca="1">IFERROR(INDIRECT("'" &amp; G$3 &amp; "'!" &amp; $B8),"")</f>
        <v>288</v>
      </c>
      <c r="H8" s="647" cm="1">
        <f t="array" aca="1" ref="H8" ca="1">IFERROR(INDIRECT("'" &amp; H$3 &amp; "'!" &amp; $B8),"")</f>
        <v>288</v>
      </c>
      <c r="I8" s="647" cm="1">
        <f t="array" aca="1" ref="I8" ca="1">IFERROR(INDIRECT("'" &amp; I$3 &amp; "'!" &amp; $B8),"")</f>
        <v>288</v>
      </c>
      <c r="J8" s="647" cm="1">
        <f t="array" aca="1" ref="J8" ca="1">IFERROR(INDIRECT("'" &amp; J$3 &amp; "'!" &amp; $B8),"")</f>
        <v>288</v>
      </c>
      <c r="K8" s="647" t="str" cm="1">
        <f t="array" aca="1" ref="K8" ca="1">IFERROR(INDIRECT("'" &amp; K$3 &amp; "'!" &amp; $B8),"")</f>
        <v/>
      </c>
      <c r="L8" s="647" t="str" cm="1">
        <f t="array" aca="1" ref="L8" ca="1">IFERROR(INDIRECT("'" &amp; L$3 &amp; "'!" &amp; $B8),"")</f>
        <v/>
      </c>
      <c r="M8" s="647" t="str" cm="1">
        <f t="array" aca="1" ref="M8" ca="1">IFERROR(INDIRECT("'" &amp; M$3 &amp; "'!" &amp; $B8),"")</f>
        <v/>
      </c>
      <c r="N8" s="647" t="str" cm="1">
        <f t="array" aca="1" ref="N8" ca="1">IFERROR(INDIRECT("'" &amp; N$3 &amp; "'!" &amp; $B8),"")</f>
        <v/>
      </c>
      <c r="O8" s="647" t="str" cm="1">
        <f t="array" aca="1" ref="O8" ca="1">IFERROR(INDIRECT("'" &amp; O$3 &amp; "'!" &amp; $B8),"")</f>
        <v/>
      </c>
      <c r="P8" s="647" t="str" cm="1">
        <f t="array" aca="1" ref="P8" ca="1">IFERROR(INDIRECT("'" &amp; P$3 &amp; "'!" &amp; $B8),"")</f>
        <v/>
      </c>
      <c r="Q8" s="647" t="str" cm="1">
        <f t="array" aca="1" ref="Q8" ca="1">IFERROR(INDIRECT("'" &amp; Q$3 &amp; "'!" &amp; $B8),"")</f>
        <v/>
      </c>
      <c r="R8" s="647" t="str" cm="1">
        <f t="array" aca="1" ref="R8" ca="1">IFERROR(INDIRECT("'" &amp; R$3 &amp; "'!" &amp; $B8),"")</f>
        <v/>
      </c>
      <c r="S8" s="156"/>
      <c r="T8" s="125"/>
      <c r="U8" s="125"/>
      <c r="W8" s="125"/>
    </row>
    <row r="9" spans="1:23">
      <c r="A9" s="713"/>
      <c r="B9" s="714"/>
      <c r="C9" s="714"/>
      <c r="D9" s="714"/>
      <c r="E9" s="714"/>
      <c r="F9" s="714"/>
      <c r="G9" s="714"/>
      <c r="H9" s="714"/>
      <c r="I9" s="714"/>
      <c r="J9" s="714"/>
      <c r="K9" s="714"/>
      <c r="L9" s="714"/>
      <c r="M9" s="714"/>
      <c r="N9" s="714"/>
      <c r="O9" s="714"/>
      <c r="P9" s="714"/>
      <c r="Q9" s="714"/>
      <c r="R9" s="714"/>
      <c r="S9" s="156"/>
      <c r="T9" s="125"/>
      <c r="U9" s="125"/>
      <c r="W9" s="125"/>
    </row>
    <row r="10" spans="1:23" ht="15" thickBot="1">
      <c r="A10" s="713"/>
      <c r="B10" s="714"/>
      <c r="C10" s="714"/>
      <c r="D10" s="714"/>
      <c r="E10" s="714"/>
      <c r="F10" s="714"/>
      <c r="G10" s="714"/>
      <c r="H10" s="714"/>
      <c r="I10" s="714"/>
      <c r="J10" s="714"/>
      <c r="K10" s="714"/>
      <c r="L10" s="714"/>
      <c r="M10" s="714"/>
      <c r="N10" s="714"/>
      <c r="O10" s="714"/>
      <c r="P10" s="714"/>
      <c r="Q10" s="714"/>
      <c r="R10" s="714"/>
      <c r="S10" s="156"/>
      <c r="T10" s="125"/>
      <c r="U10" s="125"/>
      <c r="W10" s="125"/>
    </row>
    <row r="11" spans="1:23" ht="14.4" customHeight="1">
      <c r="A11" s="673" t="str">
        <f>'5. RESUME GAMME - CACV'!A51</f>
        <v>Année en cours : 2026</v>
      </c>
      <c r="B11" s="674"/>
      <c r="C11" s="675" t="str">
        <f>A11</f>
        <v>Année en cours : 2026</v>
      </c>
      <c r="D11" s="675"/>
      <c r="E11" s="675"/>
      <c r="F11" s="675"/>
      <c r="G11" s="675"/>
      <c r="H11" s="675"/>
      <c r="I11" s="675"/>
      <c r="J11" s="675"/>
      <c r="K11" s="675"/>
      <c r="L11" s="675"/>
      <c r="M11" s="675" t="str">
        <f>C11</f>
        <v>Année en cours : 2026</v>
      </c>
      <c r="N11" s="675"/>
      <c r="O11" s="675"/>
      <c r="P11" s="675"/>
      <c r="Q11" s="675"/>
      <c r="R11" s="675"/>
      <c r="T11" s="676" t="s">
        <v>191</v>
      </c>
      <c r="U11" s="401" t="s">
        <v>677</v>
      </c>
      <c r="V11" s="402"/>
      <c r="W11" s="125"/>
    </row>
    <row r="12" spans="1:23">
      <c r="A12" s="713" t="s">
        <v>481</v>
      </c>
      <c r="B12" s="674"/>
      <c r="C12" s="715">
        <f>'5. RESUME GAMME - CACV'!C52</f>
        <v>2000</v>
      </c>
      <c r="D12" s="715">
        <f>'5. RESUME GAMME - CACV'!D52</f>
        <v>1000</v>
      </c>
      <c r="E12" s="715">
        <f>'5. RESUME GAMME - CACV'!E52</f>
        <v>4000</v>
      </c>
      <c r="F12" s="715">
        <f>'5. RESUME GAMME - CACV'!F52</f>
        <v>8000</v>
      </c>
      <c r="G12" s="715">
        <f>'5. RESUME GAMME - CACV'!G52</f>
        <v>600</v>
      </c>
      <c r="H12" s="715">
        <f>'5. RESUME GAMME - CACV'!H52</f>
        <v>200</v>
      </c>
      <c r="I12" s="715">
        <f>'5. RESUME GAMME - CACV'!I52</f>
        <v>0</v>
      </c>
      <c r="J12" s="715">
        <f>'5. RESUME GAMME - CACV'!J52</f>
        <v>0</v>
      </c>
      <c r="K12" s="715">
        <f>'5. RESUME GAMME - CACV'!K52</f>
        <v>0</v>
      </c>
      <c r="L12" s="715">
        <f>'5. RESUME GAMME - CACV'!L52</f>
        <v>0</v>
      </c>
      <c r="M12" s="715">
        <f>'5. RESUME GAMME - CACV'!M52</f>
        <v>0</v>
      </c>
      <c r="N12" s="715">
        <f>'5. RESUME GAMME - CACV'!N52</f>
        <v>0</v>
      </c>
      <c r="O12" s="715">
        <f>'5. RESUME GAMME - CACV'!O52</f>
        <v>0</v>
      </c>
      <c r="P12" s="715">
        <f>'5. RESUME GAMME - CACV'!P52</f>
        <v>0</v>
      </c>
      <c r="Q12" s="715">
        <f>'5. RESUME GAMME - CACV'!Q52</f>
        <v>0</v>
      </c>
      <c r="R12" s="715">
        <f>'5. RESUME GAMME - CACV'!R52</f>
        <v>0</v>
      </c>
      <c r="T12" s="716">
        <f>SUM(C12:R12)</f>
        <v>15800</v>
      </c>
      <c r="U12" s="403"/>
      <c r="V12" s="404"/>
      <c r="W12" s="125"/>
    </row>
    <row r="13" spans="1:23">
      <c r="A13" s="713" t="s">
        <v>482</v>
      </c>
      <c r="B13" s="674"/>
      <c r="C13" s="714">
        <f ca="1">IFERROR(C12/C7,"")</f>
        <v>8.8888888888888893</v>
      </c>
      <c r="D13" s="714">
        <f t="shared" ref="D13:R13" ca="1" si="0">IFERROR(D12/D7,"")</f>
        <v>4.4444444444444446</v>
      </c>
      <c r="E13" s="714">
        <f t="shared" ca="1" si="0"/>
        <v>17.777777777777779</v>
      </c>
      <c r="F13" s="714">
        <f t="shared" ca="1" si="0"/>
        <v>35.555555555555557</v>
      </c>
      <c r="G13" s="714">
        <f t="shared" ca="1" si="0"/>
        <v>2.6666666666666665</v>
      </c>
      <c r="H13" s="714">
        <f t="shared" ca="1" si="0"/>
        <v>0.88888888888888884</v>
      </c>
      <c r="I13" s="714">
        <f t="shared" ca="1" si="0"/>
        <v>0</v>
      </c>
      <c r="J13" s="714">
        <f t="shared" ca="1" si="0"/>
        <v>0</v>
      </c>
      <c r="K13" s="714" t="str">
        <f t="shared" ca="1" si="0"/>
        <v/>
      </c>
      <c r="L13" s="714" t="str">
        <f t="shared" ca="1" si="0"/>
        <v/>
      </c>
      <c r="M13" s="714" t="str">
        <f t="shared" ca="1" si="0"/>
        <v/>
      </c>
      <c r="N13" s="714" t="str">
        <f t="shared" ca="1" si="0"/>
        <v/>
      </c>
      <c r="O13" s="714" t="str">
        <f t="shared" ca="1" si="0"/>
        <v/>
      </c>
      <c r="P13" s="714" t="str">
        <f t="shared" ca="1" si="0"/>
        <v/>
      </c>
      <c r="Q13" s="714" t="str">
        <f t="shared" ca="1" si="0"/>
        <v/>
      </c>
      <c r="R13" s="714" t="str">
        <f t="shared" ca="1" si="0"/>
        <v/>
      </c>
      <c r="T13" s="716">
        <f ca="1">SUM(C13:R13)</f>
        <v>70.222222222222229</v>
      </c>
      <c r="U13" s="403"/>
      <c r="V13" s="404"/>
      <c r="W13" s="125"/>
    </row>
    <row r="14" spans="1:23">
      <c r="A14" s="713" t="s">
        <v>526</v>
      </c>
      <c r="B14" s="674"/>
      <c r="C14" s="714">
        <f ca="1">IFERROR(IF(OR(C13="",C13=0),"",IF(ROUND(C13,0)=0,1,ROUND(C13,0))),"")</f>
        <v>9</v>
      </c>
      <c r="D14" s="714">
        <f t="shared" ref="D14:R14" ca="1" si="1">IFERROR(IF(OR(D13="",D13=0),"",IF(ROUND(D13,0)=0,1,ROUND(D13,0))),"")</f>
        <v>4</v>
      </c>
      <c r="E14" s="714">
        <f t="shared" ca="1" si="1"/>
        <v>18</v>
      </c>
      <c r="F14" s="714">
        <f t="shared" ca="1" si="1"/>
        <v>36</v>
      </c>
      <c r="G14" s="714">
        <f t="shared" ca="1" si="1"/>
        <v>3</v>
      </c>
      <c r="H14" s="714">
        <f t="shared" ca="1" si="1"/>
        <v>1</v>
      </c>
      <c r="I14" s="714" t="str">
        <f t="shared" ca="1" si="1"/>
        <v/>
      </c>
      <c r="J14" s="714" t="str">
        <f t="shared" ca="1" si="1"/>
        <v/>
      </c>
      <c r="K14" s="714" t="str">
        <f t="shared" ca="1" si="1"/>
        <v/>
      </c>
      <c r="L14" s="714" t="str">
        <f t="shared" ca="1" si="1"/>
        <v/>
      </c>
      <c r="M14" s="714" t="str">
        <f t="shared" ca="1" si="1"/>
        <v/>
      </c>
      <c r="N14" s="714" t="str">
        <f t="shared" ca="1" si="1"/>
        <v/>
      </c>
      <c r="O14" s="714" t="str">
        <f t="shared" ca="1" si="1"/>
        <v/>
      </c>
      <c r="P14" s="714" t="str">
        <f t="shared" ca="1" si="1"/>
        <v/>
      </c>
      <c r="Q14" s="714" t="str">
        <f t="shared" ca="1" si="1"/>
        <v/>
      </c>
      <c r="R14" s="714" t="str">
        <f t="shared" ca="1" si="1"/>
        <v/>
      </c>
      <c r="T14" s="717">
        <f ca="1">SUMPRODUCT(C14:R14,(C8:R8))/60</f>
        <v>340.8</v>
      </c>
      <c r="U14" s="348" t="s">
        <v>678</v>
      </c>
      <c r="V14" s="349" t="s">
        <v>253</v>
      </c>
      <c r="W14" s="125"/>
    </row>
    <row r="15" spans="1:23" ht="15" thickBot="1">
      <c r="A15" s="713" t="s">
        <v>486</v>
      </c>
      <c r="B15" s="674"/>
      <c r="C15" s="714">
        <f ca="1">IFERROR(C8*C13/60,"")</f>
        <v>42.666666666666664</v>
      </c>
      <c r="D15" s="714">
        <f ca="1">IFERROR(D8*D13/60,"")</f>
        <v>21.333333333333332</v>
      </c>
      <c r="E15" s="714">
        <f t="shared" ref="E15:R15" ca="1" si="2">IFERROR(E8*E13/60,"")</f>
        <v>85.333333333333329</v>
      </c>
      <c r="F15" s="714">
        <f t="shared" ca="1" si="2"/>
        <v>170.66666666666666</v>
      </c>
      <c r="G15" s="714">
        <f t="shared" ca="1" si="2"/>
        <v>12.8</v>
      </c>
      <c r="H15" s="714">
        <f t="shared" ca="1" si="2"/>
        <v>4.2666666666666666</v>
      </c>
      <c r="I15" s="714">
        <f t="shared" ca="1" si="2"/>
        <v>0</v>
      </c>
      <c r="J15" s="714">
        <f t="shared" ca="1" si="2"/>
        <v>0</v>
      </c>
      <c r="K15" s="714" t="str">
        <f t="shared" ca="1" si="2"/>
        <v/>
      </c>
      <c r="L15" s="714" t="str">
        <f t="shared" ca="1" si="2"/>
        <v/>
      </c>
      <c r="M15" s="714" t="str">
        <f t="shared" ca="1" si="2"/>
        <v/>
      </c>
      <c r="N15" s="714" t="str">
        <f t="shared" ca="1" si="2"/>
        <v/>
      </c>
      <c r="O15" s="714" t="str">
        <f t="shared" ca="1" si="2"/>
        <v/>
      </c>
      <c r="P15" s="714" t="str">
        <f t="shared" ca="1" si="2"/>
        <v/>
      </c>
      <c r="Q15" s="714" t="str">
        <f t="shared" ca="1" si="2"/>
        <v/>
      </c>
      <c r="R15" s="714" t="str">
        <f t="shared" ca="1" si="2"/>
        <v/>
      </c>
      <c r="T15" s="718">
        <f ca="1">SUM(C15:R15)</f>
        <v>337.06666666666666</v>
      </c>
      <c r="U15" s="718">
        <f ca="1">T14/52</f>
        <v>6.5538461538461537</v>
      </c>
      <c r="V15" s="718">
        <f ca="1">U15/38</f>
        <v>0.17246963562753037</v>
      </c>
      <c r="W15" s="125"/>
    </row>
    <row r="16" spans="1:23">
      <c r="A16" s="140"/>
      <c r="B16" s="140"/>
      <c r="C16" s="156"/>
      <c r="D16" s="156"/>
      <c r="E16" s="156"/>
      <c r="F16" s="156"/>
      <c r="G16" s="156"/>
      <c r="H16" s="156"/>
      <c r="I16" s="156"/>
      <c r="J16" s="156"/>
      <c r="K16" s="156"/>
      <c r="L16" s="156"/>
      <c r="M16" s="156"/>
      <c r="N16" s="156"/>
      <c r="O16" s="156"/>
      <c r="P16" s="156"/>
      <c r="Q16" s="156"/>
      <c r="R16" s="156"/>
      <c r="T16" s="157"/>
      <c r="U16" s="125"/>
      <c r="W16" s="125"/>
    </row>
    <row r="17" spans="1:23" ht="15" thickBot="1">
      <c r="A17" s="713"/>
      <c r="B17" s="674"/>
      <c r="C17" s="714"/>
      <c r="D17" s="714"/>
      <c r="E17" s="714"/>
      <c r="F17" s="714"/>
      <c r="G17" s="714"/>
      <c r="H17" s="714"/>
      <c r="I17" s="714"/>
      <c r="J17" s="714"/>
      <c r="K17" s="714"/>
      <c r="L17" s="714"/>
      <c r="M17" s="714"/>
      <c r="N17" s="714"/>
      <c r="O17" s="714"/>
      <c r="P17" s="714"/>
      <c r="Q17" s="714"/>
      <c r="R17" s="714"/>
      <c r="T17" s="715"/>
      <c r="W17" s="125"/>
    </row>
    <row r="18" spans="1:23" ht="43.2">
      <c r="A18" s="677"/>
      <c r="B18" s="678" t="s">
        <v>529</v>
      </c>
      <c r="C18" s="678"/>
      <c r="D18" s="678"/>
      <c r="E18" s="678"/>
      <c r="F18" s="678"/>
      <c r="G18" s="678"/>
      <c r="H18" s="678"/>
      <c r="I18" s="678"/>
      <c r="J18" s="678"/>
      <c r="K18" s="678"/>
      <c r="L18" s="678"/>
      <c r="M18" s="678"/>
      <c r="N18" s="678"/>
      <c r="O18" s="678"/>
      <c r="P18" s="678"/>
      <c r="Q18" s="678"/>
      <c r="R18" s="679"/>
      <c r="S18" s="158" t="s">
        <v>489</v>
      </c>
      <c r="T18" s="346" t="s">
        <v>664</v>
      </c>
      <c r="U18" s="350" t="s">
        <v>493</v>
      </c>
      <c r="V18" s="196"/>
      <c r="W18" s="197"/>
    </row>
    <row r="19" spans="1:23" ht="18" customHeight="1">
      <c r="A19" s="405" t="s">
        <v>680</v>
      </c>
      <c r="B19" s="159" t="s">
        <v>334</v>
      </c>
      <c r="C19" s="160">
        <v>0</v>
      </c>
      <c r="D19" s="161">
        <v>0.5</v>
      </c>
      <c r="E19" s="160">
        <v>0</v>
      </c>
      <c r="F19" s="160">
        <v>0</v>
      </c>
      <c r="G19" s="160">
        <v>0</v>
      </c>
      <c r="H19" s="160">
        <v>0</v>
      </c>
      <c r="I19" s="160">
        <v>0</v>
      </c>
      <c r="J19" s="160">
        <v>0</v>
      </c>
      <c r="K19" s="160">
        <v>0</v>
      </c>
      <c r="L19" s="160">
        <v>0</v>
      </c>
      <c r="M19" s="160">
        <v>0</v>
      </c>
      <c r="N19" s="160">
        <v>0</v>
      </c>
      <c r="O19" s="160">
        <v>0</v>
      </c>
      <c r="P19" s="160">
        <v>0</v>
      </c>
      <c r="Q19" s="160">
        <v>0</v>
      </c>
      <c r="R19" s="353">
        <v>0</v>
      </c>
      <c r="S19" s="452">
        <f t="shared" ref="S19:S30" si="3">SUM(C19:R19)</f>
        <v>0.5</v>
      </c>
      <c r="T19" s="347">
        <f ca="1">COUNTIF($U$56:$U$107,ROW()-18)</f>
        <v>4</v>
      </c>
      <c r="U19" s="351">
        <v>20</v>
      </c>
      <c r="V19" s="405" t="s">
        <v>679</v>
      </c>
      <c r="W19" s="406"/>
    </row>
    <row r="20" spans="1:23">
      <c r="A20" s="405"/>
      <c r="B20" s="159" t="s">
        <v>335</v>
      </c>
      <c r="C20" s="160">
        <v>0</v>
      </c>
      <c r="D20" s="160">
        <v>0</v>
      </c>
      <c r="E20" s="160">
        <v>0</v>
      </c>
      <c r="F20" s="161">
        <v>1</v>
      </c>
      <c r="G20" s="160">
        <v>0</v>
      </c>
      <c r="H20" s="160">
        <v>0</v>
      </c>
      <c r="I20" s="160">
        <v>0</v>
      </c>
      <c r="J20" s="160">
        <v>0</v>
      </c>
      <c r="K20" s="160">
        <v>0</v>
      </c>
      <c r="L20" s="160">
        <v>0</v>
      </c>
      <c r="M20" s="160">
        <v>0</v>
      </c>
      <c r="N20" s="160">
        <v>0</v>
      </c>
      <c r="O20" s="160">
        <v>0</v>
      </c>
      <c r="P20" s="160">
        <v>0</v>
      </c>
      <c r="Q20" s="160">
        <v>0</v>
      </c>
      <c r="R20" s="353">
        <v>0</v>
      </c>
      <c r="S20" s="452">
        <f t="shared" si="3"/>
        <v>1</v>
      </c>
      <c r="T20" s="347">
        <f t="shared" ref="T20:T30" ca="1" si="4">COUNTIF($U$56:$U$107,ROW()-18)</f>
        <v>4</v>
      </c>
      <c r="U20" s="351">
        <v>20</v>
      </c>
      <c r="V20" s="405"/>
      <c r="W20" s="406"/>
    </row>
    <row r="21" spans="1:23">
      <c r="A21" s="405"/>
      <c r="B21" s="159" t="s">
        <v>336</v>
      </c>
      <c r="C21" s="160">
        <v>0</v>
      </c>
      <c r="D21" s="160">
        <v>0</v>
      </c>
      <c r="E21" s="160">
        <v>0</v>
      </c>
      <c r="F21" s="161">
        <v>1</v>
      </c>
      <c r="G21" s="161">
        <v>1</v>
      </c>
      <c r="H21" s="160">
        <v>0</v>
      </c>
      <c r="I21" s="160">
        <v>0</v>
      </c>
      <c r="J21" s="160">
        <v>0</v>
      </c>
      <c r="K21" s="160">
        <v>0</v>
      </c>
      <c r="L21" s="160">
        <v>0</v>
      </c>
      <c r="M21" s="160">
        <v>0</v>
      </c>
      <c r="N21" s="160">
        <v>0</v>
      </c>
      <c r="O21" s="160">
        <v>0</v>
      </c>
      <c r="P21" s="160">
        <v>0</v>
      </c>
      <c r="Q21" s="160">
        <v>0</v>
      </c>
      <c r="R21" s="353">
        <v>0</v>
      </c>
      <c r="S21" s="452">
        <f t="shared" si="3"/>
        <v>2</v>
      </c>
      <c r="T21" s="347">
        <f t="shared" ca="1" si="4"/>
        <v>5</v>
      </c>
      <c r="U21" s="351">
        <v>20</v>
      </c>
      <c r="V21" s="405"/>
      <c r="W21" s="406"/>
    </row>
    <row r="22" spans="1:23">
      <c r="A22" s="405"/>
      <c r="B22" s="159" t="s">
        <v>337</v>
      </c>
      <c r="C22" s="160">
        <v>0</v>
      </c>
      <c r="D22" s="160">
        <v>0</v>
      </c>
      <c r="E22" s="160">
        <v>0</v>
      </c>
      <c r="F22" s="161">
        <v>1</v>
      </c>
      <c r="G22" s="161">
        <v>1</v>
      </c>
      <c r="H22" s="161">
        <v>1</v>
      </c>
      <c r="I22" s="160">
        <v>0</v>
      </c>
      <c r="J22" s="160">
        <v>0</v>
      </c>
      <c r="K22" s="160">
        <v>0</v>
      </c>
      <c r="L22" s="160">
        <v>0</v>
      </c>
      <c r="M22" s="160">
        <v>0</v>
      </c>
      <c r="N22" s="160">
        <v>0</v>
      </c>
      <c r="O22" s="160">
        <v>0</v>
      </c>
      <c r="P22" s="160">
        <v>0</v>
      </c>
      <c r="Q22" s="160">
        <v>0</v>
      </c>
      <c r="R22" s="353">
        <v>0</v>
      </c>
      <c r="S22" s="452">
        <f t="shared" si="3"/>
        <v>3</v>
      </c>
      <c r="T22" s="347">
        <f t="shared" ca="1" si="4"/>
        <v>4</v>
      </c>
      <c r="U22" s="351">
        <v>20</v>
      </c>
      <c r="V22" s="405"/>
      <c r="W22" s="406"/>
    </row>
    <row r="23" spans="1:23">
      <c r="A23" s="405"/>
      <c r="B23" s="159" t="s">
        <v>338</v>
      </c>
      <c r="C23" s="160">
        <v>0</v>
      </c>
      <c r="D23" s="160">
        <v>0</v>
      </c>
      <c r="E23" s="160">
        <v>0</v>
      </c>
      <c r="F23" s="161">
        <v>1</v>
      </c>
      <c r="G23" s="161">
        <v>1</v>
      </c>
      <c r="H23" s="161">
        <v>1</v>
      </c>
      <c r="I23" s="160">
        <v>0</v>
      </c>
      <c r="J23" s="160">
        <v>0</v>
      </c>
      <c r="K23" s="160">
        <v>0</v>
      </c>
      <c r="L23" s="160">
        <v>0</v>
      </c>
      <c r="M23" s="160">
        <v>0</v>
      </c>
      <c r="N23" s="160">
        <v>0</v>
      </c>
      <c r="O23" s="160">
        <v>0</v>
      </c>
      <c r="P23" s="160">
        <v>0</v>
      </c>
      <c r="Q23" s="160">
        <v>0</v>
      </c>
      <c r="R23" s="353">
        <v>0</v>
      </c>
      <c r="S23" s="452">
        <f t="shared" si="3"/>
        <v>3</v>
      </c>
      <c r="T23" s="347">
        <f t="shared" ca="1" si="4"/>
        <v>5</v>
      </c>
      <c r="U23" s="351">
        <v>20</v>
      </c>
      <c r="V23" s="405"/>
      <c r="W23" s="406"/>
    </row>
    <row r="24" spans="1:23">
      <c r="A24" s="405"/>
      <c r="B24" s="159" t="s">
        <v>339</v>
      </c>
      <c r="C24" s="160">
        <v>0</v>
      </c>
      <c r="D24" s="160">
        <v>0</v>
      </c>
      <c r="E24" s="160">
        <v>0</v>
      </c>
      <c r="F24" s="161">
        <v>1</v>
      </c>
      <c r="G24" s="160">
        <v>0</v>
      </c>
      <c r="H24" s="161">
        <v>1</v>
      </c>
      <c r="I24" s="160">
        <v>0</v>
      </c>
      <c r="J24" s="160">
        <v>0</v>
      </c>
      <c r="K24" s="160">
        <v>0</v>
      </c>
      <c r="L24" s="160">
        <v>0</v>
      </c>
      <c r="M24" s="160">
        <v>0</v>
      </c>
      <c r="N24" s="160">
        <v>0</v>
      </c>
      <c r="O24" s="160">
        <v>0</v>
      </c>
      <c r="P24" s="160">
        <v>0</v>
      </c>
      <c r="Q24" s="160">
        <v>0</v>
      </c>
      <c r="R24" s="353">
        <v>0</v>
      </c>
      <c r="S24" s="452">
        <f t="shared" si="3"/>
        <v>2</v>
      </c>
      <c r="T24" s="347">
        <f t="shared" ca="1" si="4"/>
        <v>4</v>
      </c>
      <c r="U24" s="351">
        <v>20</v>
      </c>
      <c r="V24" s="405"/>
      <c r="W24" s="406"/>
    </row>
    <row r="25" spans="1:23">
      <c r="A25" s="405"/>
      <c r="B25" s="159" t="s">
        <v>340</v>
      </c>
      <c r="C25" s="161">
        <v>1</v>
      </c>
      <c r="D25" s="160">
        <v>0</v>
      </c>
      <c r="E25" s="161">
        <v>0</v>
      </c>
      <c r="F25" s="161">
        <v>1</v>
      </c>
      <c r="G25" s="160">
        <v>0</v>
      </c>
      <c r="H25" s="160">
        <v>0</v>
      </c>
      <c r="I25" s="160">
        <v>0</v>
      </c>
      <c r="J25" s="160">
        <v>0</v>
      </c>
      <c r="K25" s="160">
        <v>0</v>
      </c>
      <c r="L25" s="160">
        <v>0</v>
      </c>
      <c r="M25" s="160">
        <v>0</v>
      </c>
      <c r="N25" s="160">
        <v>0</v>
      </c>
      <c r="O25" s="160">
        <v>0</v>
      </c>
      <c r="P25" s="160">
        <v>0</v>
      </c>
      <c r="Q25" s="160">
        <v>0</v>
      </c>
      <c r="R25" s="353">
        <v>0</v>
      </c>
      <c r="S25" s="452">
        <f t="shared" si="3"/>
        <v>2</v>
      </c>
      <c r="T25" s="347">
        <f t="shared" ca="1" si="4"/>
        <v>4</v>
      </c>
      <c r="U25" s="351">
        <v>20</v>
      </c>
      <c r="V25" s="405"/>
      <c r="W25" s="406"/>
    </row>
    <row r="26" spans="1:23">
      <c r="A26" s="405"/>
      <c r="B26" s="159" t="s">
        <v>341</v>
      </c>
      <c r="C26" s="161">
        <v>1</v>
      </c>
      <c r="D26" s="160">
        <v>0</v>
      </c>
      <c r="E26" s="161">
        <v>0.5</v>
      </c>
      <c r="F26" s="161">
        <v>1</v>
      </c>
      <c r="G26" s="160">
        <v>0</v>
      </c>
      <c r="H26" s="160">
        <v>0</v>
      </c>
      <c r="I26" s="160">
        <v>0</v>
      </c>
      <c r="J26" s="160">
        <v>0</v>
      </c>
      <c r="K26" s="160">
        <v>0</v>
      </c>
      <c r="L26" s="160">
        <v>0</v>
      </c>
      <c r="M26" s="160">
        <v>0</v>
      </c>
      <c r="N26" s="160">
        <v>0</v>
      </c>
      <c r="O26" s="160">
        <v>0</v>
      </c>
      <c r="P26" s="160">
        <v>0</v>
      </c>
      <c r="Q26" s="160">
        <v>0</v>
      </c>
      <c r="R26" s="353">
        <v>0</v>
      </c>
      <c r="S26" s="452">
        <f t="shared" si="3"/>
        <v>2.5</v>
      </c>
      <c r="T26" s="347">
        <f t="shared" ca="1" si="4"/>
        <v>5</v>
      </c>
      <c r="U26" s="351">
        <v>20</v>
      </c>
      <c r="V26" s="405"/>
      <c r="W26" s="406"/>
    </row>
    <row r="27" spans="1:23">
      <c r="A27" s="405"/>
      <c r="B27" s="159" t="s">
        <v>342</v>
      </c>
      <c r="C27" s="161">
        <v>1</v>
      </c>
      <c r="D27" s="160">
        <v>0</v>
      </c>
      <c r="E27" s="161">
        <v>1</v>
      </c>
      <c r="F27" s="161">
        <v>1</v>
      </c>
      <c r="G27" s="160">
        <v>0</v>
      </c>
      <c r="H27" s="160">
        <v>0</v>
      </c>
      <c r="I27" s="160">
        <v>0</v>
      </c>
      <c r="J27" s="160">
        <v>0</v>
      </c>
      <c r="K27" s="160">
        <v>0</v>
      </c>
      <c r="L27" s="160">
        <v>0</v>
      </c>
      <c r="M27" s="160">
        <v>0</v>
      </c>
      <c r="N27" s="160">
        <v>0</v>
      </c>
      <c r="O27" s="160">
        <v>0</v>
      </c>
      <c r="P27" s="160">
        <v>0</v>
      </c>
      <c r="Q27" s="160">
        <v>0</v>
      </c>
      <c r="R27" s="353">
        <v>0</v>
      </c>
      <c r="S27" s="452">
        <f t="shared" si="3"/>
        <v>3</v>
      </c>
      <c r="T27" s="347">
        <f t="shared" ca="1" si="4"/>
        <v>4</v>
      </c>
      <c r="U27" s="351">
        <v>20</v>
      </c>
      <c r="V27" s="405"/>
      <c r="W27" s="406"/>
    </row>
    <row r="28" spans="1:23">
      <c r="A28" s="405"/>
      <c r="B28" s="159" t="s">
        <v>343</v>
      </c>
      <c r="C28" s="161">
        <v>0.5</v>
      </c>
      <c r="D28" s="161">
        <v>0.5</v>
      </c>
      <c r="E28" s="161">
        <v>0.5</v>
      </c>
      <c r="F28" s="161">
        <v>1</v>
      </c>
      <c r="G28" s="160">
        <v>0</v>
      </c>
      <c r="H28" s="160">
        <v>0</v>
      </c>
      <c r="I28" s="160">
        <v>0</v>
      </c>
      <c r="J28" s="160">
        <v>0</v>
      </c>
      <c r="K28" s="160">
        <v>0</v>
      </c>
      <c r="L28" s="160">
        <v>0</v>
      </c>
      <c r="M28" s="160">
        <v>0</v>
      </c>
      <c r="N28" s="160">
        <v>0</v>
      </c>
      <c r="O28" s="160">
        <v>0</v>
      </c>
      <c r="P28" s="160">
        <v>0</v>
      </c>
      <c r="Q28" s="160">
        <v>0</v>
      </c>
      <c r="R28" s="353">
        <v>0</v>
      </c>
      <c r="S28" s="452">
        <f t="shared" si="3"/>
        <v>2.5</v>
      </c>
      <c r="T28" s="347">
        <f t="shared" ca="1" si="4"/>
        <v>4</v>
      </c>
      <c r="U28" s="351">
        <v>20</v>
      </c>
      <c r="V28" s="405"/>
      <c r="W28" s="406"/>
    </row>
    <row r="29" spans="1:23">
      <c r="A29" s="405"/>
      <c r="B29" s="159" t="s">
        <v>344</v>
      </c>
      <c r="C29" s="160">
        <v>0</v>
      </c>
      <c r="D29" s="161">
        <v>1</v>
      </c>
      <c r="E29" s="160">
        <v>0</v>
      </c>
      <c r="F29" s="161">
        <v>1</v>
      </c>
      <c r="G29" s="160">
        <v>0</v>
      </c>
      <c r="H29" s="160">
        <v>0</v>
      </c>
      <c r="I29" s="160">
        <v>0</v>
      </c>
      <c r="J29" s="160">
        <v>0</v>
      </c>
      <c r="K29" s="160">
        <v>0</v>
      </c>
      <c r="L29" s="160">
        <v>0</v>
      </c>
      <c r="M29" s="160">
        <v>0</v>
      </c>
      <c r="N29" s="160">
        <v>0</v>
      </c>
      <c r="O29" s="160">
        <v>0</v>
      </c>
      <c r="P29" s="160">
        <v>0</v>
      </c>
      <c r="Q29" s="160">
        <v>0</v>
      </c>
      <c r="R29" s="353">
        <v>0</v>
      </c>
      <c r="S29" s="452">
        <f t="shared" si="3"/>
        <v>2</v>
      </c>
      <c r="T29" s="347">
        <f t="shared" ca="1" si="4"/>
        <v>5</v>
      </c>
      <c r="U29" s="351">
        <v>20</v>
      </c>
      <c r="V29" s="405"/>
      <c r="W29" s="406"/>
    </row>
    <row r="30" spans="1:23" ht="15" thickBot="1">
      <c r="A30" s="407"/>
      <c r="B30" s="354" t="s">
        <v>345</v>
      </c>
      <c r="C30" s="355">
        <v>0</v>
      </c>
      <c r="D30" s="356">
        <v>1</v>
      </c>
      <c r="E30" s="355">
        <v>0</v>
      </c>
      <c r="F30" s="356">
        <v>1</v>
      </c>
      <c r="G30" s="355">
        <v>0</v>
      </c>
      <c r="H30" s="355">
        <v>0</v>
      </c>
      <c r="I30" s="355">
        <v>0</v>
      </c>
      <c r="J30" s="355">
        <v>0</v>
      </c>
      <c r="K30" s="355">
        <v>0</v>
      </c>
      <c r="L30" s="355">
        <v>0</v>
      </c>
      <c r="M30" s="355">
        <v>0</v>
      </c>
      <c r="N30" s="355">
        <v>0</v>
      </c>
      <c r="O30" s="355">
        <v>0</v>
      </c>
      <c r="P30" s="355">
        <v>0</v>
      </c>
      <c r="Q30" s="355">
        <v>0</v>
      </c>
      <c r="R30" s="357">
        <v>0</v>
      </c>
      <c r="S30" s="452">
        <f t="shared" si="3"/>
        <v>2</v>
      </c>
      <c r="T30" s="347">
        <f t="shared" ca="1" si="4"/>
        <v>4</v>
      </c>
      <c r="U30" s="352">
        <v>20</v>
      </c>
      <c r="V30" s="407"/>
      <c r="W30" s="408"/>
    </row>
    <row r="31" spans="1:23">
      <c r="A31" s="47" t="s">
        <v>346</v>
      </c>
      <c r="C31" s="719">
        <f>SUM(C19:C30)</f>
        <v>3.5</v>
      </c>
      <c r="D31" s="719">
        <f t="shared" ref="D31:R31" si="5">SUM(D19:D30)</f>
        <v>3</v>
      </c>
      <c r="E31" s="719">
        <f>SUM(E19:E30)</f>
        <v>2</v>
      </c>
      <c r="F31" s="719">
        <f t="shared" si="5"/>
        <v>11</v>
      </c>
      <c r="G31" s="719">
        <f t="shared" si="5"/>
        <v>3</v>
      </c>
      <c r="H31" s="719">
        <f t="shared" si="5"/>
        <v>3</v>
      </c>
      <c r="I31" s="719">
        <f>SUM(I19:I30)</f>
        <v>0</v>
      </c>
      <c r="J31" s="719">
        <f t="shared" si="5"/>
        <v>0</v>
      </c>
      <c r="K31" s="719">
        <f t="shared" si="5"/>
        <v>0</v>
      </c>
      <c r="L31" s="719">
        <f t="shared" si="5"/>
        <v>0</v>
      </c>
      <c r="M31" s="719">
        <f t="shared" si="5"/>
        <v>0</v>
      </c>
      <c r="N31" s="719">
        <f t="shared" si="5"/>
        <v>0</v>
      </c>
      <c r="O31" s="719">
        <f t="shared" si="5"/>
        <v>0</v>
      </c>
      <c r="P31" s="719">
        <f t="shared" si="5"/>
        <v>0</v>
      </c>
      <c r="Q31" s="719">
        <f t="shared" si="5"/>
        <v>0</v>
      </c>
      <c r="R31" s="719">
        <f t="shared" si="5"/>
        <v>0</v>
      </c>
      <c r="S31" s="45"/>
    </row>
    <row r="32" spans="1:23">
      <c r="A32" s="37" t="s">
        <v>347</v>
      </c>
      <c r="B32" s="162"/>
      <c r="C32" s="720">
        <f>C31*4.33</f>
        <v>15.155000000000001</v>
      </c>
      <c r="D32" s="720">
        <f t="shared" ref="D32:R32" si="6">D31*4.33</f>
        <v>12.99</v>
      </c>
      <c r="E32" s="720">
        <f t="shared" si="6"/>
        <v>8.66</v>
      </c>
      <c r="F32" s="720">
        <f t="shared" si="6"/>
        <v>47.63</v>
      </c>
      <c r="G32" s="720">
        <f t="shared" si="6"/>
        <v>12.99</v>
      </c>
      <c r="H32" s="720">
        <f t="shared" si="6"/>
        <v>12.99</v>
      </c>
      <c r="I32" s="720">
        <f t="shared" si="6"/>
        <v>0</v>
      </c>
      <c r="J32" s="720">
        <f t="shared" si="6"/>
        <v>0</v>
      </c>
      <c r="K32" s="720">
        <f t="shared" si="6"/>
        <v>0</v>
      </c>
      <c r="L32" s="720">
        <f t="shared" si="6"/>
        <v>0</v>
      </c>
      <c r="M32" s="720">
        <f t="shared" si="6"/>
        <v>0</v>
      </c>
      <c r="N32" s="720">
        <f t="shared" si="6"/>
        <v>0</v>
      </c>
      <c r="O32" s="720">
        <f t="shared" si="6"/>
        <v>0</v>
      </c>
      <c r="P32" s="720">
        <f t="shared" si="6"/>
        <v>0</v>
      </c>
      <c r="Q32" s="720">
        <f t="shared" si="6"/>
        <v>0</v>
      </c>
      <c r="R32" s="720">
        <f t="shared" si="6"/>
        <v>0</v>
      </c>
    </row>
    <row r="35" spans="1:25" ht="28.8">
      <c r="A35" s="163"/>
      <c r="B35" s="671" t="s">
        <v>548</v>
      </c>
      <c r="C35" s="671"/>
      <c r="D35" s="671"/>
      <c r="E35" s="671"/>
      <c r="F35" s="671"/>
      <c r="G35" s="671"/>
      <c r="H35" s="671"/>
      <c r="I35" s="671"/>
      <c r="J35" s="671"/>
      <c r="K35" s="671"/>
      <c r="L35" s="671"/>
      <c r="M35" s="671"/>
      <c r="N35" s="671"/>
      <c r="O35" s="671"/>
      <c r="P35" s="671"/>
      <c r="Q35" s="671"/>
      <c r="R35" s="672"/>
      <c r="S35" s="158" t="s">
        <v>490</v>
      </c>
      <c r="T35" s="158" t="s">
        <v>491</v>
      </c>
      <c r="U35" s="158" t="s">
        <v>492</v>
      </c>
      <c r="V35" s="164" t="s">
        <v>487</v>
      </c>
      <c r="W35" s="165" t="s">
        <v>488</v>
      </c>
      <c r="Y35" s="680"/>
    </row>
    <row r="36" spans="1:25">
      <c r="A36" s="409" t="s">
        <v>527</v>
      </c>
      <c r="B36" s="166" t="str">
        <f t="shared" ref="B36:B47" si="7">B19</f>
        <v>JANVIER</v>
      </c>
      <c r="C36" s="665">
        <f ca="1">SUMIFS(C$56:C$107,$B$56:$B$107,$B36)</f>
        <v>0</v>
      </c>
      <c r="D36" s="665">
        <f t="shared" ref="D36:R47" ca="1" si="8">SUMIFS(D$56:D$107,$B$56:$B$107,$B36)</f>
        <v>1</v>
      </c>
      <c r="E36" s="665">
        <f t="shared" ca="1" si="8"/>
        <v>0</v>
      </c>
      <c r="F36" s="665">
        <f t="shared" ca="1" si="8"/>
        <v>0</v>
      </c>
      <c r="G36" s="665">
        <f t="shared" ca="1" si="8"/>
        <v>0</v>
      </c>
      <c r="H36" s="665">
        <f t="shared" ca="1" si="8"/>
        <v>0</v>
      </c>
      <c r="I36" s="665">
        <f t="shared" ca="1" si="8"/>
        <v>0</v>
      </c>
      <c r="J36" s="665">
        <f t="shared" ca="1" si="8"/>
        <v>0</v>
      </c>
      <c r="K36" s="665">
        <f t="shared" ca="1" si="8"/>
        <v>0</v>
      </c>
      <c r="L36" s="665">
        <f t="shared" ca="1" si="8"/>
        <v>0</v>
      </c>
      <c r="M36" s="665">
        <f t="shared" ca="1" si="8"/>
        <v>0</v>
      </c>
      <c r="N36" s="665">
        <f t="shared" ca="1" si="8"/>
        <v>0</v>
      </c>
      <c r="O36" s="665">
        <f t="shared" ca="1" si="8"/>
        <v>0</v>
      </c>
      <c r="P36" s="665">
        <f t="shared" ca="1" si="8"/>
        <v>0</v>
      </c>
      <c r="Q36" s="665">
        <f t="shared" ca="1" si="8"/>
        <v>0</v>
      </c>
      <c r="R36" s="665">
        <f t="shared" ca="1" si="8"/>
        <v>0</v>
      </c>
      <c r="S36" s="721">
        <f t="shared" ref="S36:S47" ca="1" si="9">SUM(C36:R36)/4.33</f>
        <v>0.23094688221709006</v>
      </c>
      <c r="T36" s="722">
        <f t="shared" ref="T36:T47" ca="1" si="10">SUMPRODUCT(C36:R36,$C$8:$R$8)/60/4.33</f>
        <v>1.1085450346420322</v>
      </c>
      <c r="U36" s="723">
        <f ca="1">T36/38*5</f>
        <v>0.14586118876868845</v>
      </c>
      <c r="V36" s="724">
        <f t="shared" ref="V36:V47" ca="1" si="11">IFERROR(T36/U19,"")</f>
        <v>5.5427251732101612E-2</v>
      </c>
      <c r="W36" s="167" t="str">
        <f t="shared" ref="W36:W47" ca="1" si="12">IF(V36="","",IF(V36&gt;1,"GOULOT",IF(V36&gt;0.8,"Tendu","OK")))</f>
        <v>OK</v>
      </c>
      <c r="Y36" s="681"/>
    </row>
    <row r="37" spans="1:25">
      <c r="A37" s="409"/>
      <c r="B37" s="166" t="str">
        <f t="shared" si="7"/>
        <v>FÉVRIER</v>
      </c>
      <c r="C37" s="665">
        <f t="shared" ref="C37:C47" ca="1" si="13">SUMIFS(C$56:C$107,$B$56:$B$107,$B37)</f>
        <v>0</v>
      </c>
      <c r="D37" s="665">
        <f t="shared" ca="1" si="8"/>
        <v>0</v>
      </c>
      <c r="E37" s="665">
        <f t="shared" ca="1" si="8"/>
        <v>0</v>
      </c>
      <c r="F37" s="665">
        <f t="shared" ca="1" si="8"/>
        <v>3</v>
      </c>
      <c r="G37" s="665">
        <f t="shared" ca="1" si="8"/>
        <v>0</v>
      </c>
      <c r="H37" s="665">
        <f t="shared" ca="1" si="8"/>
        <v>0</v>
      </c>
      <c r="I37" s="665">
        <f t="shared" ca="1" si="8"/>
        <v>0</v>
      </c>
      <c r="J37" s="665">
        <f t="shared" ca="1" si="8"/>
        <v>0</v>
      </c>
      <c r="K37" s="665">
        <f t="shared" ca="1" si="8"/>
        <v>0</v>
      </c>
      <c r="L37" s="665">
        <f t="shared" ca="1" si="8"/>
        <v>0</v>
      </c>
      <c r="M37" s="665">
        <f t="shared" ca="1" si="8"/>
        <v>0</v>
      </c>
      <c r="N37" s="665">
        <f t="shared" ca="1" si="8"/>
        <v>0</v>
      </c>
      <c r="O37" s="665">
        <f t="shared" ca="1" si="8"/>
        <v>0</v>
      </c>
      <c r="P37" s="665">
        <f t="shared" ca="1" si="8"/>
        <v>0</v>
      </c>
      <c r="Q37" s="665">
        <f t="shared" ca="1" si="8"/>
        <v>0</v>
      </c>
      <c r="R37" s="665">
        <f t="shared" ca="1" si="8"/>
        <v>0</v>
      </c>
      <c r="S37" s="721">
        <f t="shared" ca="1" si="9"/>
        <v>0.69284064665127021</v>
      </c>
      <c r="T37" s="722">
        <f t="shared" ca="1" si="10"/>
        <v>3.3256351039260972</v>
      </c>
      <c r="U37" s="723">
        <f t="shared" ref="U37:U47" ca="1" si="14">T37/38*5</f>
        <v>0.43758356630606543</v>
      </c>
      <c r="V37" s="724">
        <f t="shared" ca="1" si="11"/>
        <v>0.16628175519630486</v>
      </c>
      <c r="W37" s="167" t="str">
        <f t="shared" ca="1" si="12"/>
        <v>OK</v>
      </c>
      <c r="Y37" s="682"/>
    </row>
    <row r="38" spans="1:25" ht="18" customHeight="1">
      <c r="A38" s="409"/>
      <c r="B38" s="166" t="str">
        <f t="shared" si="7"/>
        <v>MARS</v>
      </c>
      <c r="C38" s="665">
        <f t="shared" ca="1" si="13"/>
        <v>0</v>
      </c>
      <c r="D38" s="665">
        <f t="shared" ca="1" si="8"/>
        <v>0</v>
      </c>
      <c r="E38" s="665">
        <f t="shared" ca="1" si="8"/>
        <v>0</v>
      </c>
      <c r="F38" s="665">
        <f t="shared" ca="1" si="8"/>
        <v>4</v>
      </c>
      <c r="G38" s="665">
        <f t="shared" ca="1" si="8"/>
        <v>1</v>
      </c>
      <c r="H38" s="665">
        <f t="shared" ca="1" si="8"/>
        <v>0</v>
      </c>
      <c r="I38" s="665">
        <f t="shared" ca="1" si="8"/>
        <v>0</v>
      </c>
      <c r="J38" s="665">
        <f t="shared" ca="1" si="8"/>
        <v>0</v>
      </c>
      <c r="K38" s="665">
        <f t="shared" ca="1" si="8"/>
        <v>0</v>
      </c>
      <c r="L38" s="665">
        <f t="shared" ca="1" si="8"/>
        <v>0</v>
      </c>
      <c r="M38" s="665">
        <f t="shared" ca="1" si="8"/>
        <v>0</v>
      </c>
      <c r="N38" s="665">
        <f t="shared" ca="1" si="8"/>
        <v>0</v>
      </c>
      <c r="O38" s="665">
        <f t="shared" ca="1" si="8"/>
        <v>0</v>
      </c>
      <c r="P38" s="665">
        <f t="shared" ca="1" si="8"/>
        <v>0</v>
      </c>
      <c r="Q38" s="665">
        <f t="shared" ca="1" si="8"/>
        <v>0</v>
      </c>
      <c r="R38" s="665">
        <f t="shared" ca="1" si="8"/>
        <v>0</v>
      </c>
      <c r="S38" s="721">
        <f t="shared" ca="1" si="9"/>
        <v>1.1547344110854503</v>
      </c>
      <c r="T38" s="722">
        <f t="shared" ca="1" si="10"/>
        <v>5.5427251732101617</v>
      </c>
      <c r="U38" s="723">
        <f t="shared" ca="1" si="14"/>
        <v>0.72930594384344238</v>
      </c>
      <c r="V38" s="724">
        <f t="shared" ca="1" si="11"/>
        <v>0.27713625866050806</v>
      </c>
      <c r="W38" s="167" t="str">
        <f t="shared" ca="1" si="12"/>
        <v>OK</v>
      </c>
      <c r="Y38" s="681"/>
    </row>
    <row r="39" spans="1:25">
      <c r="A39" s="409"/>
      <c r="B39" s="166" t="str">
        <f t="shared" si="7"/>
        <v>AVRIL</v>
      </c>
      <c r="C39" s="665">
        <f t="shared" ca="1" si="13"/>
        <v>0</v>
      </c>
      <c r="D39" s="665">
        <f t="shared" ca="1" si="8"/>
        <v>0</v>
      </c>
      <c r="E39" s="665">
        <f t="shared" ca="1" si="8"/>
        <v>0</v>
      </c>
      <c r="F39" s="665">
        <f t="shared" ca="1" si="8"/>
        <v>3</v>
      </c>
      <c r="G39" s="665">
        <f t="shared" ca="1" si="8"/>
        <v>1</v>
      </c>
      <c r="H39" s="665">
        <f t="shared" ca="1" si="8"/>
        <v>0</v>
      </c>
      <c r="I39" s="665">
        <f t="shared" ca="1" si="8"/>
        <v>0</v>
      </c>
      <c r="J39" s="665">
        <f t="shared" ca="1" si="8"/>
        <v>0</v>
      </c>
      <c r="K39" s="665">
        <f t="shared" ca="1" si="8"/>
        <v>0</v>
      </c>
      <c r="L39" s="665">
        <f t="shared" ca="1" si="8"/>
        <v>0</v>
      </c>
      <c r="M39" s="665">
        <f t="shared" ca="1" si="8"/>
        <v>0</v>
      </c>
      <c r="N39" s="665">
        <f t="shared" ca="1" si="8"/>
        <v>0</v>
      </c>
      <c r="O39" s="665">
        <f t="shared" ca="1" si="8"/>
        <v>0</v>
      </c>
      <c r="P39" s="665">
        <f t="shared" ca="1" si="8"/>
        <v>0</v>
      </c>
      <c r="Q39" s="665">
        <f t="shared" ca="1" si="8"/>
        <v>0</v>
      </c>
      <c r="R39" s="665">
        <f t="shared" ca="1" si="8"/>
        <v>0</v>
      </c>
      <c r="S39" s="721">
        <f t="shared" ca="1" si="9"/>
        <v>0.92378752886836024</v>
      </c>
      <c r="T39" s="722">
        <f t="shared" ca="1" si="10"/>
        <v>4.434180138568129</v>
      </c>
      <c r="U39" s="723">
        <f ca="1">T39/38*5</f>
        <v>0.5834447550747538</v>
      </c>
      <c r="V39" s="724">
        <f t="shared" ca="1" si="11"/>
        <v>0.22170900692840645</v>
      </c>
      <c r="W39" s="167" t="str">
        <f t="shared" ca="1" si="12"/>
        <v>OK</v>
      </c>
      <c r="Y39" s="682"/>
    </row>
    <row r="40" spans="1:25">
      <c r="A40" s="409"/>
      <c r="B40" s="166" t="str">
        <f t="shared" si="7"/>
        <v>MAI</v>
      </c>
      <c r="C40" s="665">
        <f t="shared" ca="1" si="13"/>
        <v>0</v>
      </c>
      <c r="D40" s="665">
        <f t="shared" ca="1" si="8"/>
        <v>0</v>
      </c>
      <c r="E40" s="665">
        <f t="shared" ca="1" si="8"/>
        <v>0</v>
      </c>
      <c r="F40" s="665">
        <f t="shared" ca="1" si="8"/>
        <v>4</v>
      </c>
      <c r="G40" s="665">
        <f t="shared" ca="1" si="8"/>
        <v>1</v>
      </c>
      <c r="H40" s="665">
        <f t="shared" ca="1" si="8"/>
        <v>1</v>
      </c>
      <c r="I40" s="665">
        <f t="shared" ca="1" si="8"/>
        <v>0</v>
      </c>
      <c r="J40" s="665">
        <f t="shared" ca="1" si="8"/>
        <v>0</v>
      </c>
      <c r="K40" s="665">
        <f t="shared" ca="1" si="8"/>
        <v>0</v>
      </c>
      <c r="L40" s="665">
        <f t="shared" ca="1" si="8"/>
        <v>0</v>
      </c>
      <c r="M40" s="665">
        <f t="shared" ca="1" si="8"/>
        <v>0</v>
      </c>
      <c r="N40" s="665">
        <f t="shared" ca="1" si="8"/>
        <v>0</v>
      </c>
      <c r="O40" s="665">
        <f t="shared" ca="1" si="8"/>
        <v>0</v>
      </c>
      <c r="P40" s="665">
        <f t="shared" ca="1" si="8"/>
        <v>0</v>
      </c>
      <c r="Q40" s="665">
        <f t="shared" ca="1" si="8"/>
        <v>0</v>
      </c>
      <c r="R40" s="665">
        <f t="shared" ca="1" si="8"/>
        <v>0</v>
      </c>
      <c r="S40" s="721">
        <f t="shared" ca="1" si="9"/>
        <v>1.3856812933025404</v>
      </c>
      <c r="T40" s="722">
        <f t="shared" ca="1" si="10"/>
        <v>6.6512702078521944</v>
      </c>
      <c r="U40" s="723">
        <f t="shared" ca="1" si="14"/>
        <v>0.87516713261213086</v>
      </c>
      <c r="V40" s="724">
        <f t="shared" ca="1" si="11"/>
        <v>0.33256351039260973</v>
      </c>
      <c r="W40" s="167" t="str">
        <f t="shared" ca="1" si="12"/>
        <v>OK</v>
      </c>
      <c r="Y40" s="681"/>
    </row>
    <row r="41" spans="1:25" ht="22.05" customHeight="1">
      <c r="A41" s="409"/>
      <c r="B41" s="166" t="str">
        <f t="shared" si="7"/>
        <v>JUIN</v>
      </c>
      <c r="C41" s="665">
        <f t="shared" ca="1" si="13"/>
        <v>0</v>
      </c>
      <c r="D41" s="665">
        <f t="shared" ca="1" si="8"/>
        <v>0</v>
      </c>
      <c r="E41" s="665">
        <f t="shared" ca="1" si="8"/>
        <v>0</v>
      </c>
      <c r="F41" s="665">
        <f t="shared" ca="1" si="8"/>
        <v>3</v>
      </c>
      <c r="G41" s="665">
        <f t="shared" ca="1" si="8"/>
        <v>0</v>
      </c>
      <c r="H41" s="665">
        <f t="shared" ca="1" si="8"/>
        <v>0</v>
      </c>
      <c r="I41" s="665">
        <f t="shared" ca="1" si="8"/>
        <v>0</v>
      </c>
      <c r="J41" s="665">
        <f t="shared" ca="1" si="8"/>
        <v>0</v>
      </c>
      <c r="K41" s="665">
        <f t="shared" ca="1" si="8"/>
        <v>0</v>
      </c>
      <c r="L41" s="665">
        <f t="shared" ca="1" si="8"/>
        <v>0</v>
      </c>
      <c r="M41" s="665">
        <f t="shared" ca="1" si="8"/>
        <v>0</v>
      </c>
      <c r="N41" s="665">
        <f t="shared" ca="1" si="8"/>
        <v>0</v>
      </c>
      <c r="O41" s="665">
        <f t="shared" ca="1" si="8"/>
        <v>0</v>
      </c>
      <c r="P41" s="665">
        <f t="shared" ca="1" si="8"/>
        <v>0</v>
      </c>
      <c r="Q41" s="665">
        <f t="shared" ca="1" si="8"/>
        <v>0</v>
      </c>
      <c r="R41" s="665">
        <f t="shared" ca="1" si="8"/>
        <v>0</v>
      </c>
      <c r="S41" s="721">
        <f t="shared" ca="1" si="9"/>
        <v>0.69284064665127021</v>
      </c>
      <c r="T41" s="722">
        <f t="shared" ca="1" si="10"/>
        <v>3.3256351039260972</v>
      </c>
      <c r="U41" s="723">
        <f t="shared" ca="1" si="14"/>
        <v>0.43758356630606543</v>
      </c>
      <c r="V41" s="724">
        <f t="shared" ca="1" si="11"/>
        <v>0.16628175519630486</v>
      </c>
      <c r="W41" s="167" t="str">
        <f t="shared" ca="1" si="12"/>
        <v>OK</v>
      </c>
      <c r="Y41" s="682"/>
    </row>
    <row r="42" spans="1:25" ht="12.6" customHeight="1">
      <c r="A42" s="409"/>
      <c r="B42" s="166" t="str">
        <f t="shared" si="7"/>
        <v>JUILLET</v>
      </c>
      <c r="C42" s="665">
        <f t="shared" ca="1" si="13"/>
        <v>2</v>
      </c>
      <c r="D42" s="665">
        <f t="shared" ca="1" si="8"/>
        <v>0</v>
      </c>
      <c r="E42" s="665">
        <f t="shared" ca="1" si="8"/>
        <v>0</v>
      </c>
      <c r="F42" s="665">
        <f t="shared" ca="1" si="8"/>
        <v>3</v>
      </c>
      <c r="G42" s="665">
        <f t="shared" ca="1" si="8"/>
        <v>0</v>
      </c>
      <c r="H42" s="665">
        <f t="shared" ca="1" si="8"/>
        <v>0</v>
      </c>
      <c r="I42" s="665">
        <f t="shared" ca="1" si="8"/>
        <v>0</v>
      </c>
      <c r="J42" s="665">
        <f t="shared" ca="1" si="8"/>
        <v>0</v>
      </c>
      <c r="K42" s="665">
        <f t="shared" ca="1" si="8"/>
        <v>0</v>
      </c>
      <c r="L42" s="665">
        <f t="shared" ca="1" si="8"/>
        <v>0</v>
      </c>
      <c r="M42" s="665">
        <f t="shared" ca="1" si="8"/>
        <v>0</v>
      </c>
      <c r="N42" s="665">
        <f t="shared" ca="1" si="8"/>
        <v>0</v>
      </c>
      <c r="O42" s="665">
        <f t="shared" ca="1" si="8"/>
        <v>0</v>
      </c>
      <c r="P42" s="665">
        <f t="shared" ca="1" si="8"/>
        <v>0</v>
      </c>
      <c r="Q42" s="665">
        <f t="shared" ca="1" si="8"/>
        <v>0</v>
      </c>
      <c r="R42" s="665">
        <f t="shared" ca="1" si="8"/>
        <v>0</v>
      </c>
      <c r="S42" s="721">
        <f t="shared" ca="1" si="9"/>
        <v>1.1547344110854503</v>
      </c>
      <c r="T42" s="722">
        <f t="shared" ca="1" si="10"/>
        <v>5.5427251732101617</v>
      </c>
      <c r="U42" s="723">
        <f t="shared" ca="1" si="14"/>
        <v>0.72930594384344238</v>
      </c>
      <c r="V42" s="724">
        <f t="shared" ca="1" si="11"/>
        <v>0.27713625866050806</v>
      </c>
      <c r="W42" s="167" t="str">
        <f t="shared" ca="1" si="12"/>
        <v>OK</v>
      </c>
      <c r="Y42" s="681"/>
    </row>
    <row r="43" spans="1:25">
      <c r="A43" s="409"/>
      <c r="B43" s="166" t="str">
        <f t="shared" si="7"/>
        <v>AOÛT</v>
      </c>
      <c r="C43" s="665">
        <f t="shared" ca="1" si="13"/>
        <v>3</v>
      </c>
      <c r="D43" s="665">
        <f t="shared" ca="1" si="8"/>
        <v>0</v>
      </c>
      <c r="E43" s="665">
        <f t="shared" ca="1" si="8"/>
        <v>5</v>
      </c>
      <c r="F43" s="665">
        <f t="shared" ca="1" si="8"/>
        <v>3</v>
      </c>
      <c r="G43" s="665">
        <f t="shared" ca="1" si="8"/>
        <v>0</v>
      </c>
      <c r="H43" s="665">
        <f t="shared" ca="1" si="8"/>
        <v>0</v>
      </c>
      <c r="I43" s="665">
        <f t="shared" ca="1" si="8"/>
        <v>0</v>
      </c>
      <c r="J43" s="665">
        <f t="shared" ca="1" si="8"/>
        <v>0</v>
      </c>
      <c r="K43" s="665">
        <f t="shared" ca="1" si="8"/>
        <v>0</v>
      </c>
      <c r="L43" s="665">
        <f t="shared" ca="1" si="8"/>
        <v>0</v>
      </c>
      <c r="M43" s="665">
        <f t="shared" ca="1" si="8"/>
        <v>0</v>
      </c>
      <c r="N43" s="665">
        <f t="shared" ca="1" si="8"/>
        <v>0</v>
      </c>
      <c r="O43" s="665">
        <f t="shared" ca="1" si="8"/>
        <v>0</v>
      </c>
      <c r="P43" s="665">
        <f t="shared" ca="1" si="8"/>
        <v>0</v>
      </c>
      <c r="Q43" s="665">
        <f t="shared" ca="1" si="8"/>
        <v>0</v>
      </c>
      <c r="R43" s="665">
        <f t="shared" ca="1" si="8"/>
        <v>0</v>
      </c>
      <c r="S43" s="721">
        <f t="shared" ca="1" si="9"/>
        <v>2.5404157043879909</v>
      </c>
      <c r="T43" s="722">
        <f t="shared" ca="1" si="10"/>
        <v>12.193995381062354</v>
      </c>
      <c r="U43" s="723">
        <f t="shared" ca="1" si="14"/>
        <v>1.6044730764555728</v>
      </c>
      <c r="V43" s="724">
        <f t="shared" ca="1" si="11"/>
        <v>0.60969976905311773</v>
      </c>
      <c r="W43" s="167" t="str">
        <f t="shared" ca="1" si="12"/>
        <v>OK</v>
      </c>
      <c r="Y43" s="682"/>
    </row>
    <row r="44" spans="1:25">
      <c r="A44" s="409"/>
      <c r="B44" s="166" t="str">
        <f t="shared" si="7"/>
        <v>SEPTEMBRE</v>
      </c>
      <c r="C44" s="665">
        <f t="shared" ca="1" si="13"/>
        <v>3</v>
      </c>
      <c r="D44" s="665">
        <f t="shared" ca="1" si="8"/>
        <v>0</v>
      </c>
      <c r="E44" s="665">
        <f t="shared" ca="1" si="8"/>
        <v>9</v>
      </c>
      <c r="F44" s="665">
        <f t="shared" ca="1" si="8"/>
        <v>3</v>
      </c>
      <c r="G44" s="665">
        <f t="shared" ca="1" si="8"/>
        <v>0</v>
      </c>
      <c r="H44" s="665">
        <f t="shared" ca="1" si="8"/>
        <v>0</v>
      </c>
      <c r="I44" s="665">
        <f t="shared" ca="1" si="8"/>
        <v>0</v>
      </c>
      <c r="J44" s="665">
        <f t="shared" ca="1" si="8"/>
        <v>0</v>
      </c>
      <c r="K44" s="665">
        <f t="shared" ca="1" si="8"/>
        <v>0</v>
      </c>
      <c r="L44" s="665">
        <f t="shared" ca="1" si="8"/>
        <v>0</v>
      </c>
      <c r="M44" s="665">
        <f t="shared" ca="1" si="8"/>
        <v>0</v>
      </c>
      <c r="N44" s="665">
        <f t="shared" ca="1" si="8"/>
        <v>0</v>
      </c>
      <c r="O44" s="665">
        <f t="shared" ca="1" si="8"/>
        <v>0</v>
      </c>
      <c r="P44" s="665">
        <f t="shared" ca="1" si="8"/>
        <v>0</v>
      </c>
      <c r="Q44" s="665">
        <f t="shared" ca="1" si="8"/>
        <v>0</v>
      </c>
      <c r="R44" s="665">
        <f t="shared" ca="1" si="8"/>
        <v>0</v>
      </c>
      <c r="S44" s="721">
        <f t="shared" ca="1" si="9"/>
        <v>3.464203233256351</v>
      </c>
      <c r="T44" s="722">
        <f t="shared" ca="1" si="10"/>
        <v>16.628175519630485</v>
      </c>
      <c r="U44" s="723">
        <f t="shared" ca="1" si="14"/>
        <v>2.1879178315303269</v>
      </c>
      <c r="V44" s="724">
        <f t="shared" ca="1" si="11"/>
        <v>0.8314087759815243</v>
      </c>
      <c r="W44" s="167" t="str">
        <f t="shared" ca="1" si="12"/>
        <v>Tendu</v>
      </c>
      <c r="Y44" s="681"/>
    </row>
    <row r="45" spans="1:25">
      <c r="A45" s="409"/>
      <c r="B45" s="166" t="str">
        <f t="shared" si="7"/>
        <v>OCTOBRE</v>
      </c>
      <c r="C45" s="665">
        <f t="shared" ca="1" si="13"/>
        <v>1</v>
      </c>
      <c r="D45" s="665">
        <f t="shared" ca="1" si="8"/>
        <v>0</v>
      </c>
      <c r="E45" s="665">
        <f t="shared" ca="1" si="8"/>
        <v>4</v>
      </c>
      <c r="F45" s="665">
        <f t="shared" ca="1" si="8"/>
        <v>3</v>
      </c>
      <c r="G45" s="665">
        <f t="shared" ca="1" si="8"/>
        <v>0</v>
      </c>
      <c r="H45" s="665">
        <f t="shared" ca="1" si="8"/>
        <v>0</v>
      </c>
      <c r="I45" s="665">
        <f t="shared" ca="1" si="8"/>
        <v>0</v>
      </c>
      <c r="J45" s="665">
        <f t="shared" ca="1" si="8"/>
        <v>0</v>
      </c>
      <c r="K45" s="665">
        <f t="shared" ca="1" si="8"/>
        <v>0</v>
      </c>
      <c r="L45" s="665">
        <f t="shared" ca="1" si="8"/>
        <v>0</v>
      </c>
      <c r="M45" s="665">
        <f t="shared" ca="1" si="8"/>
        <v>0</v>
      </c>
      <c r="N45" s="665">
        <f t="shared" ca="1" si="8"/>
        <v>0</v>
      </c>
      <c r="O45" s="665">
        <f t="shared" ca="1" si="8"/>
        <v>0</v>
      </c>
      <c r="P45" s="665">
        <f t="shared" ca="1" si="8"/>
        <v>0</v>
      </c>
      <c r="Q45" s="665">
        <f t="shared" ca="1" si="8"/>
        <v>0</v>
      </c>
      <c r="R45" s="665">
        <f t="shared" ca="1" si="8"/>
        <v>0</v>
      </c>
      <c r="S45" s="721">
        <f t="shared" ca="1" si="9"/>
        <v>1.8475750577367205</v>
      </c>
      <c r="T45" s="722">
        <f t="shared" ca="1" si="10"/>
        <v>8.868360277136258</v>
      </c>
      <c r="U45" s="723">
        <f t="shared" ca="1" si="14"/>
        <v>1.1668895101495076</v>
      </c>
      <c r="V45" s="724">
        <f t="shared" ca="1" si="11"/>
        <v>0.4434180138568129</v>
      </c>
      <c r="W45" s="167" t="str">
        <f t="shared" ca="1" si="12"/>
        <v>OK</v>
      </c>
      <c r="Y45" s="682"/>
    </row>
    <row r="46" spans="1:25">
      <c r="A46" s="409"/>
      <c r="B46" s="166" t="str">
        <f t="shared" si="7"/>
        <v>NOVEMBRE</v>
      </c>
      <c r="C46" s="665">
        <f t="shared" ca="1" si="13"/>
        <v>0</v>
      </c>
      <c r="D46" s="665">
        <f t="shared" ca="1" si="8"/>
        <v>2</v>
      </c>
      <c r="E46" s="665">
        <f t="shared" ca="1" si="8"/>
        <v>0</v>
      </c>
      <c r="F46" s="665">
        <f t="shared" ca="1" si="8"/>
        <v>4</v>
      </c>
      <c r="G46" s="665">
        <f t="shared" ca="1" si="8"/>
        <v>0</v>
      </c>
      <c r="H46" s="665">
        <f t="shared" ca="1" si="8"/>
        <v>0</v>
      </c>
      <c r="I46" s="665">
        <f t="shared" ca="1" si="8"/>
        <v>0</v>
      </c>
      <c r="J46" s="665">
        <f t="shared" ca="1" si="8"/>
        <v>0</v>
      </c>
      <c r="K46" s="665">
        <f t="shared" ca="1" si="8"/>
        <v>0</v>
      </c>
      <c r="L46" s="665">
        <f t="shared" ca="1" si="8"/>
        <v>0</v>
      </c>
      <c r="M46" s="665">
        <f t="shared" ca="1" si="8"/>
        <v>0</v>
      </c>
      <c r="N46" s="665">
        <f t="shared" ca="1" si="8"/>
        <v>0</v>
      </c>
      <c r="O46" s="665">
        <f t="shared" ca="1" si="8"/>
        <v>0</v>
      </c>
      <c r="P46" s="665">
        <f t="shared" ca="1" si="8"/>
        <v>0</v>
      </c>
      <c r="Q46" s="665">
        <f t="shared" ca="1" si="8"/>
        <v>0</v>
      </c>
      <c r="R46" s="665">
        <f t="shared" ca="1" si="8"/>
        <v>0</v>
      </c>
      <c r="S46" s="721">
        <f t="shared" ca="1" si="9"/>
        <v>1.3856812933025404</v>
      </c>
      <c r="T46" s="722">
        <f t="shared" ca="1" si="10"/>
        <v>6.6512702078521944</v>
      </c>
      <c r="U46" s="723">
        <f t="shared" ca="1" si="14"/>
        <v>0.87516713261213086</v>
      </c>
      <c r="V46" s="724">
        <f t="shared" ca="1" si="11"/>
        <v>0.33256351039260973</v>
      </c>
      <c r="W46" s="167" t="str">
        <f t="shared" ca="1" si="12"/>
        <v>OK</v>
      </c>
      <c r="Y46" s="681"/>
    </row>
    <row r="47" spans="1:25">
      <c r="A47" s="409"/>
      <c r="B47" s="166" t="str">
        <f t="shared" si="7"/>
        <v>DÉCEMBRE</v>
      </c>
      <c r="C47" s="665">
        <f t="shared" ca="1" si="13"/>
        <v>0</v>
      </c>
      <c r="D47" s="665">
        <f t="shared" ca="1" si="8"/>
        <v>1</v>
      </c>
      <c r="E47" s="665">
        <f t="shared" ca="1" si="8"/>
        <v>0</v>
      </c>
      <c r="F47" s="665">
        <f t="shared" ca="1" si="8"/>
        <v>3</v>
      </c>
      <c r="G47" s="665">
        <f t="shared" ca="1" si="8"/>
        <v>0</v>
      </c>
      <c r="H47" s="665">
        <f t="shared" ca="1" si="8"/>
        <v>0</v>
      </c>
      <c r="I47" s="665">
        <f t="shared" ca="1" si="8"/>
        <v>0</v>
      </c>
      <c r="J47" s="665">
        <f t="shared" ca="1" si="8"/>
        <v>0</v>
      </c>
      <c r="K47" s="665">
        <f t="shared" ca="1" si="8"/>
        <v>0</v>
      </c>
      <c r="L47" s="665">
        <f t="shared" ca="1" si="8"/>
        <v>0</v>
      </c>
      <c r="M47" s="665">
        <f t="shared" ca="1" si="8"/>
        <v>0</v>
      </c>
      <c r="N47" s="665">
        <f t="shared" ca="1" si="8"/>
        <v>0</v>
      </c>
      <c r="O47" s="665">
        <f t="shared" ca="1" si="8"/>
        <v>0</v>
      </c>
      <c r="P47" s="665">
        <f t="shared" ca="1" si="8"/>
        <v>0</v>
      </c>
      <c r="Q47" s="665">
        <f t="shared" ca="1" si="8"/>
        <v>0</v>
      </c>
      <c r="R47" s="665">
        <f t="shared" ca="1" si="8"/>
        <v>0</v>
      </c>
      <c r="S47" s="721">
        <f t="shared" ca="1" si="9"/>
        <v>0.92378752886836024</v>
      </c>
      <c r="T47" s="722">
        <f t="shared" ca="1" si="10"/>
        <v>4.434180138568129</v>
      </c>
      <c r="U47" s="723">
        <f t="shared" ca="1" si="14"/>
        <v>0.5834447550747538</v>
      </c>
      <c r="V47" s="724">
        <f t="shared" ca="1" si="11"/>
        <v>0.22170900692840645</v>
      </c>
      <c r="W47" s="167" t="str">
        <f t="shared" ca="1" si="12"/>
        <v>OK</v>
      </c>
      <c r="Y47" s="682"/>
    </row>
    <row r="48" spans="1:25">
      <c r="S48" s="45"/>
      <c r="U48" s="723"/>
    </row>
    <row r="49" spans="1:26">
      <c r="S49" s="452">
        <f ca="1">SUM(S36:S47)</f>
        <v>16.397228637413395</v>
      </c>
      <c r="T49" s="721">
        <f ca="1">SUM(T36:T47)</f>
        <v>78.706697459584291</v>
      </c>
      <c r="U49" s="452">
        <f ca="1">SUM(U36:U47)/5</f>
        <v>2.0712288805153758</v>
      </c>
      <c r="Y49" s="683"/>
    </row>
    <row r="50" spans="1:26">
      <c r="Y50" s="683"/>
    </row>
    <row r="51" spans="1:26">
      <c r="U51" s="45" t="s">
        <v>530</v>
      </c>
    </row>
    <row r="52" spans="1:26">
      <c r="A52" s="45" t="s">
        <v>662</v>
      </c>
      <c r="B52" s="345">
        <f ca="1">IFERROR(VALUE(RIGHT($A$11,4)),YEAR(TODAY()))</f>
        <v>2026</v>
      </c>
      <c r="U52" s="724" t="str">
        <f ca="1">IF(T49*4.33=T14,"OK CORRECT","PROBLEME")</f>
        <v>OK CORRECT</v>
      </c>
    </row>
    <row r="53" spans="1:26" ht="31.95" customHeight="1"/>
    <row r="54" spans="1:26" ht="31.95" customHeight="1">
      <c r="B54" s="684" t="s">
        <v>663</v>
      </c>
    </row>
    <row r="55" spans="1:26" ht="31.95" customHeight="1">
      <c r="A55" s="685" t="s">
        <v>665</v>
      </c>
      <c r="B55" s="685" t="s">
        <v>237</v>
      </c>
      <c r="C55" s="686" t="str">
        <f ca="1">C$4</f>
        <v>Coulis de tomate</v>
      </c>
      <c r="D55" s="686" t="str">
        <f t="shared" ref="D55:R55" ca="1" si="15">D$4</f>
        <v>Pickels légumes</v>
      </c>
      <c r="E55" s="686" t="str">
        <f t="shared" ca="1" si="15"/>
        <v>Potage legume feuille</v>
      </c>
      <c r="F55" s="686" t="str">
        <f t="shared" ca="1" si="15"/>
        <v>Bolognaise</v>
      </c>
      <c r="G55" s="686" t="str">
        <f t="shared" ca="1" si="15"/>
        <v>Chutney carottes</v>
      </c>
      <c r="H55" s="686" t="str">
        <f t="shared" ca="1" si="15"/>
        <v>Marmelade agrumes</v>
      </c>
      <c r="I55" s="686" t="str">
        <f t="shared" ca="1" si="15"/>
        <v>Sirop menthe</v>
      </c>
      <c r="J55" s="686" t="str">
        <f t="shared" ca="1" si="15"/>
        <v>Cornichons</v>
      </c>
      <c r="K55" s="686" t="str">
        <f t="shared" ca="1" si="15"/>
        <v/>
      </c>
      <c r="L55" s="686" t="str">
        <f t="shared" ca="1" si="15"/>
        <v/>
      </c>
      <c r="M55" s="686" t="str">
        <f t="shared" ca="1" si="15"/>
        <v/>
      </c>
      <c r="N55" s="686" t="str">
        <f t="shared" ca="1" si="15"/>
        <v/>
      </c>
      <c r="O55" s="686" t="str">
        <f t="shared" ca="1" si="15"/>
        <v/>
      </c>
      <c r="P55" s="686" t="str">
        <f t="shared" ca="1" si="15"/>
        <v/>
      </c>
      <c r="Q55" s="686" t="str">
        <f t="shared" ca="1" si="15"/>
        <v/>
      </c>
      <c r="R55" s="686" t="str">
        <f t="shared" ca="1" si="15"/>
        <v/>
      </c>
      <c r="S55" s="687" t="s">
        <v>666</v>
      </c>
      <c r="T55" s="688" t="s">
        <v>667</v>
      </c>
      <c r="U55" s="688" t="s">
        <v>668</v>
      </c>
      <c r="V55" s="688" t="s">
        <v>669</v>
      </c>
      <c r="W55" s="687" t="s">
        <v>670</v>
      </c>
      <c r="X55" s="687" t="s">
        <v>671</v>
      </c>
      <c r="Y55" s="687" t="s">
        <v>672</v>
      </c>
      <c r="Z55" s="687" t="s">
        <v>488</v>
      </c>
    </row>
    <row r="56" spans="1:26" ht="13.95" customHeight="1">
      <c r="A56" s="689">
        <v>1</v>
      </c>
      <c r="B56" s="690" t="str" cm="1">
        <f t="array" aca="1" ref="B56" ca="1">INDEX($B$19:$B$30,$U56)</f>
        <v>JANVIER</v>
      </c>
      <c r="C56" s="691" cm="1">
        <f t="array" aca="1" ref="C56" ca="1">_xlfn.LET(_xlpm.w,INDEX(C$19:C$30,$U56),_xlpm.tot,SUMPRODUCT(C$19:C$30,$T$19:$T$30),_xlpm.n,C$14,_xlpm.cum,SUMPRODUCT((ROW($C$19:$C$30)-18&lt;$U56)*C$19:C$30*$T$19:$T$30)+$V56*_xlpm.w,IF(OR(_xlpm.n="",_xlpm.n=0,_xlpm.tot=0,_xlpm.w=0),0,ROUND(_xlpm.cum/_xlpm.tot*_xlpm.n,0)-ROUND((_xlpm.cum-_xlpm.w)/_xlpm.tot*_xlpm.n,0)))</f>
        <v>0</v>
      </c>
      <c r="D56" s="691"/>
      <c r="E56" s="691"/>
      <c r="F56" s="691"/>
      <c r="G56" s="691"/>
      <c r="H56" s="691"/>
      <c r="I56" s="691"/>
      <c r="J56" s="691"/>
      <c r="K56" s="691"/>
      <c r="L56" s="691"/>
      <c r="M56" s="691"/>
      <c r="N56" s="691"/>
      <c r="O56" s="691"/>
      <c r="P56" s="691"/>
      <c r="Q56" s="691"/>
      <c r="R56" s="691"/>
      <c r="S56" s="692">
        <f ca="1">SUM(C56:R56)</f>
        <v>0</v>
      </c>
      <c r="T56" s="693">
        <f ca="1">DATE($B$52,1,1)+7*($A56-1)</f>
        <v>46023</v>
      </c>
      <c r="U56" s="694">
        <f ca="1">MONTH($T56+3)</f>
        <v>1</v>
      </c>
      <c r="V56" s="694">
        <f ca="1">COUNTIFS($U$56:$U56,$U56)</f>
        <v>1</v>
      </c>
      <c r="W56" s="695">
        <f ca="1">SUMPRODUCT(C56:R56,$C$8:$R$8)/60</f>
        <v>0</v>
      </c>
      <c r="X56" s="696" cm="1">
        <f t="array" aca="1" ref="X56" ca="1">INDEX($U$19:$U$30,$U56)</f>
        <v>20</v>
      </c>
      <c r="Y56" s="697">
        <f ca="1">IFERROR($W56/$X56,"")</f>
        <v>0</v>
      </c>
      <c r="Z56" s="698" t="str">
        <f ca="1">IF($Y56="","",IF($Y56&gt;1,"GOULOT",IF($Y56&gt;0.8,"Tendu","OK")))</f>
        <v>OK</v>
      </c>
    </row>
    <row r="57" spans="1:26" ht="13.95" customHeight="1">
      <c r="A57" s="689">
        <f>A56+1</f>
        <v>2</v>
      </c>
      <c r="B57" s="690" t="str" cm="1">
        <f t="array" aca="1" ref="B57" ca="1">INDEX($B$19:$B$30,$U57)</f>
        <v>JANVIER</v>
      </c>
      <c r="C57" s="691" cm="1">
        <f t="array" aca="1" ref="C57" ca="1">_xlfn.LET(_xlpm.w,INDEX(C$19:C$30,$U57),_xlpm.tot,SUMPRODUCT(C$19:C$30,$T$19:$T$30),_xlpm.n,C$14,_xlpm.cum,SUMPRODUCT((ROW($C$19:$C$30)-18&lt;$U57)*C$19:C$30*$T$19:$T$30)+$V57*_xlpm.w,IF(OR(_xlpm.n="",_xlpm.n=0,_xlpm.tot=0,_xlpm.w=0),0,ROUND(_xlpm.cum/_xlpm.tot*_xlpm.n,0)-ROUND((_xlpm.cum-_xlpm.w)/_xlpm.tot*_xlpm.n,0)))</f>
        <v>0</v>
      </c>
      <c r="D57" s="691" cm="1">
        <f t="array" aca="1" ref="D57" ca="1">_xlfn.LET(_xlpm.w,INDEX(D$19:D$30,$U57),_xlpm.tot,SUMPRODUCT(D$19:D$30,$T$19:$T$30),_xlpm.n,D$14,_xlpm.cum,SUMPRODUCT((ROW($C$19:$C$30)-18&lt;$U57)*D$19:D$30*$T$19:$T$30)+$V57*_xlpm.w,IF(OR(_xlpm.n="",_xlpm.n=0,_xlpm.tot=0,_xlpm.w=0),0,ROUND(_xlpm.cum/_xlpm.tot*_xlpm.n,0)-ROUND((_xlpm.cum-_xlpm.w)/_xlpm.tot*_xlpm.n,0)))</f>
        <v>0</v>
      </c>
      <c r="E57" s="691" cm="1">
        <f t="array" aca="1" ref="E57" ca="1">_xlfn.LET(_xlpm.w,INDEX(E$19:E$30,$U57),_xlpm.tot,SUMPRODUCT(E$19:E$30,$T$19:$T$30),_xlpm.n,E$14,_xlpm.cum,SUMPRODUCT((ROW($C$19:$C$30)-18&lt;$U57)*E$19:E$30*$T$19:$T$30)+$V57*_xlpm.w,IF(OR(_xlpm.n="",_xlpm.n=0,_xlpm.tot=0,_xlpm.w=0),0,ROUND(_xlpm.cum/_xlpm.tot*_xlpm.n,0)-ROUND((_xlpm.cum-_xlpm.w)/_xlpm.tot*_xlpm.n,0)))</f>
        <v>0</v>
      </c>
      <c r="F57" s="691" cm="1">
        <f t="array" aca="1" ref="F57" ca="1">_xlfn.LET(_xlpm.w,INDEX(F$19:F$30,$U57),_xlpm.tot,SUMPRODUCT(F$19:F$30,$T$19:$T$30),_xlpm.n,F$14,_xlpm.cum,SUMPRODUCT((ROW($C$19:$C$30)-18&lt;$U57)*F$19:F$30*$T$19:$T$30)+$V57*_xlpm.w,IF(OR(_xlpm.n="",_xlpm.n=0,_xlpm.tot=0,_xlpm.w=0),0,ROUND(_xlpm.cum/_xlpm.tot*_xlpm.n,0)-ROUND((_xlpm.cum-_xlpm.w)/_xlpm.tot*_xlpm.n,0)))</f>
        <v>0</v>
      </c>
      <c r="G57" s="691" cm="1">
        <f t="array" aca="1" ref="G57" ca="1">_xlfn.LET(_xlpm.w,INDEX(G$19:G$30,$U57),_xlpm.tot,SUMPRODUCT(G$19:G$30,$T$19:$T$30),_xlpm.n,G$14,_xlpm.cum,SUMPRODUCT((ROW($C$19:$C$30)-18&lt;$U57)*G$19:G$30*$T$19:$T$30)+$V57*_xlpm.w,IF(OR(_xlpm.n="",_xlpm.n=0,_xlpm.tot=0,_xlpm.w=0),0,ROUND(_xlpm.cum/_xlpm.tot*_xlpm.n,0)-ROUND((_xlpm.cum-_xlpm.w)/_xlpm.tot*_xlpm.n,0)))</f>
        <v>0</v>
      </c>
      <c r="H57" s="691" cm="1">
        <f t="array" aca="1" ref="H57" ca="1">_xlfn.LET(_xlpm.w,INDEX(H$19:H$30,$U57),_xlpm.tot,SUMPRODUCT(H$19:H$30,$T$19:$T$30),_xlpm.n,H$14,_xlpm.cum,SUMPRODUCT((ROW($C$19:$C$30)-18&lt;$U57)*H$19:H$30*$T$19:$T$30)+$V57*_xlpm.w,IF(OR(_xlpm.n="",_xlpm.n=0,_xlpm.tot=0,_xlpm.w=0),0,ROUND(_xlpm.cum/_xlpm.tot*_xlpm.n,0)-ROUND((_xlpm.cum-_xlpm.w)/_xlpm.tot*_xlpm.n,0)))</f>
        <v>0</v>
      </c>
      <c r="I57" s="691" cm="1">
        <f t="array" aca="1" ref="I57" ca="1">_xlfn.LET(_xlpm.w,INDEX(I$19:I$30,$U57),_xlpm.tot,SUMPRODUCT(I$19:I$30,$T$19:$T$30),_xlpm.n,I$14,_xlpm.cum,SUMPRODUCT((ROW($C$19:$C$30)-18&lt;$U57)*I$19:I$30*$T$19:$T$30)+$V57*_xlpm.w,IF(OR(_xlpm.n="",_xlpm.n=0,_xlpm.tot=0,_xlpm.w=0),0,ROUND(_xlpm.cum/_xlpm.tot*_xlpm.n,0)-ROUND((_xlpm.cum-_xlpm.w)/_xlpm.tot*_xlpm.n,0)))</f>
        <v>0</v>
      </c>
      <c r="J57" s="691" cm="1">
        <f t="array" aca="1" ref="J57" ca="1">_xlfn.LET(_xlpm.w,INDEX(J$19:J$30,$U57),_xlpm.tot,SUMPRODUCT(J$19:J$30,$T$19:$T$30),_xlpm.n,J$14,_xlpm.cum,SUMPRODUCT((ROW($C$19:$C$30)-18&lt;$U57)*J$19:J$30*$T$19:$T$30)+$V57*_xlpm.w,IF(OR(_xlpm.n="",_xlpm.n=0,_xlpm.tot=0,_xlpm.w=0),0,ROUND(_xlpm.cum/_xlpm.tot*_xlpm.n,0)-ROUND((_xlpm.cum-_xlpm.w)/_xlpm.tot*_xlpm.n,0)))</f>
        <v>0</v>
      </c>
      <c r="K57" s="691" cm="1">
        <f t="array" aca="1" ref="K57" ca="1">_xlfn.LET(_xlpm.w,INDEX(K$19:K$30,$U57),_xlpm.tot,SUMPRODUCT(K$19:K$30,$T$19:$T$30),_xlpm.n,K$14,_xlpm.cum,SUMPRODUCT((ROW($C$19:$C$30)-18&lt;$U57)*K$19:K$30*$T$19:$T$30)+$V57*_xlpm.w,IF(OR(_xlpm.n="",_xlpm.n=0,_xlpm.tot=0,_xlpm.w=0),0,ROUND(_xlpm.cum/_xlpm.tot*_xlpm.n,0)-ROUND((_xlpm.cum-_xlpm.w)/_xlpm.tot*_xlpm.n,0)))</f>
        <v>0</v>
      </c>
      <c r="L57" s="691" cm="1">
        <f t="array" aca="1" ref="L57" ca="1">_xlfn.LET(_xlpm.w,INDEX(L$19:L$30,$U57),_xlpm.tot,SUMPRODUCT(L$19:L$30,$T$19:$T$30),_xlpm.n,L$14,_xlpm.cum,SUMPRODUCT((ROW($C$19:$C$30)-18&lt;$U57)*L$19:L$30*$T$19:$T$30)+$V57*_xlpm.w,IF(OR(_xlpm.n="",_xlpm.n=0,_xlpm.tot=0,_xlpm.w=0),0,ROUND(_xlpm.cum/_xlpm.tot*_xlpm.n,0)-ROUND((_xlpm.cum-_xlpm.w)/_xlpm.tot*_xlpm.n,0)))</f>
        <v>0</v>
      </c>
      <c r="M57" s="691" cm="1">
        <f t="array" aca="1" ref="M57" ca="1">_xlfn.LET(_xlpm.w,INDEX(M$19:M$30,$U57),_xlpm.tot,SUMPRODUCT(M$19:M$30,$T$19:$T$30),_xlpm.n,M$14,_xlpm.cum,SUMPRODUCT((ROW($C$19:$C$30)-18&lt;$U57)*M$19:M$30*$T$19:$T$30)+$V57*_xlpm.w,IF(OR(_xlpm.n="",_xlpm.n=0,_xlpm.tot=0,_xlpm.w=0),0,ROUND(_xlpm.cum/_xlpm.tot*_xlpm.n,0)-ROUND((_xlpm.cum-_xlpm.w)/_xlpm.tot*_xlpm.n,0)))</f>
        <v>0</v>
      </c>
      <c r="N57" s="691" cm="1">
        <f t="array" aca="1" ref="N57" ca="1">_xlfn.LET(_xlpm.w,INDEX(N$19:N$30,$U57),_xlpm.tot,SUMPRODUCT(N$19:N$30,$T$19:$T$30),_xlpm.n,N$14,_xlpm.cum,SUMPRODUCT((ROW($C$19:$C$30)-18&lt;$U57)*N$19:N$30*$T$19:$T$30)+$V57*_xlpm.w,IF(OR(_xlpm.n="",_xlpm.n=0,_xlpm.tot=0,_xlpm.w=0),0,ROUND(_xlpm.cum/_xlpm.tot*_xlpm.n,0)-ROUND((_xlpm.cum-_xlpm.w)/_xlpm.tot*_xlpm.n,0)))</f>
        <v>0</v>
      </c>
      <c r="O57" s="691" cm="1">
        <f t="array" aca="1" ref="O57" ca="1">_xlfn.LET(_xlpm.w,INDEX(O$19:O$30,$U57),_xlpm.tot,SUMPRODUCT(O$19:O$30,$T$19:$T$30),_xlpm.n,O$14,_xlpm.cum,SUMPRODUCT((ROW($C$19:$C$30)-18&lt;$U57)*O$19:O$30*$T$19:$T$30)+$V57*_xlpm.w,IF(OR(_xlpm.n="",_xlpm.n=0,_xlpm.tot=0,_xlpm.w=0),0,ROUND(_xlpm.cum/_xlpm.tot*_xlpm.n,0)-ROUND((_xlpm.cum-_xlpm.w)/_xlpm.tot*_xlpm.n,0)))</f>
        <v>0</v>
      </c>
      <c r="P57" s="691" cm="1">
        <f t="array" aca="1" ref="P57" ca="1">_xlfn.LET(_xlpm.w,INDEX(P$19:P$30,$U57),_xlpm.tot,SUMPRODUCT(P$19:P$30,$T$19:$T$30),_xlpm.n,P$14,_xlpm.cum,SUMPRODUCT((ROW($C$19:$C$30)-18&lt;$U57)*P$19:P$30*$T$19:$T$30)+$V57*_xlpm.w,IF(OR(_xlpm.n="",_xlpm.n=0,_xlpm.tot=0,_xlpm.w=0),0,ROUND(_xlpm.cum/_xlpm.tot*_xlpm.n,0)-ROUND((_xlpm.cum-_xlpm.w)/_xlpm.tot*_xlpm.n,0)))</f>
        <v>0</v>
      </c>
      <c r="Q57" s="691" cm="1">
        <f t="array" aca="1" ref="Q57" ca="1">_xlfn.LET(_xlpm.w,INDEX(Q$19:Q$30,$U57),_xlpm.tot,SUMPRODUCT(Q$19:Q$30,$T$19:$T$30),_xlpm.n,Q$14,_xlpm.cum,SUMPRODUCT((ROW($C$19:$C$30)-18&lt;$U57)*Q$19:Q$30*$T$19:$T$30)+$V57*_xlpm.w,IF(OR(_xlpm.n="",_xlpm.n=0,_xlpm.tot=0,_xlpm.w=0),0,ROUND(_xlpm.cum/_xlpm.tot*_xlpm.n,0)-ROUND((_xlpm.cum-_xlpm.w)/_xlpm.tot*_xlpm.n,0)))</f>
        <v>0</v>
      </c>
      <c r="R57" s="691" cm="1">
        <f t="array" aca="1" ref="R57" ca="1">_xlfn.LET(_xlpm.w,INDEX(R$19:R$30,$U57),_xlpm.tot,SUMPRODUCT(R$19:R$30,$T$19:$T$30),_xlpm.n,R$14,_xlpm.cum,SUMPRODUCT((ROW($C$19:$C$30)-18&lt;$U57)*R$19:R$30*$T$19:$T$30)+$V57*_xlpm.w,IF(OR(_xlpm.n="",_xlpm.n=0,_xlpm.tot=0,_xlpm.w=0),0,ROUND(_xlpm.cum/_xlpm.tot*_xlpm.n,0)-ROUND((_xlpm.cum-_xlpm.w)/_xlpm.tot*_xlpm.n,0)))</f>
        <v>0</v>
      </c>
      <c r="S57" s="692">
        <f t="shared" ref="S57:S107" ca="1" si="16">SUM(C57:R57)</f>
        <v>0</v>
      </c>
      <c r="T57" s="693">
        <f t="shared" ref="T57:T107" ca="1" si="17">DATE($B$52,1,1)+7*($A57-1)</f>
        <v>46030</v>
      </c>
      <c r="U57" s="694">
        <f t="shared" ref="U57:U107" ca="1" si="18">MONTH($T57+3)</f>
        <v>1</v>
      </c>
      <c r="V57" s="694">
        <f ca="1">COUNTIFS($U$56:$U57,$U57)</f>
        <v>2</v>
      </c>
      <c r="W57" s="695">
        <f t="shared" ref="W57:W107" ca="1" si="19">SUMPRODUCT(C57:R57,$C$8:$R$8)/60</f>
        <v>0</v>
      </c>
      <c r="X57" s="696" cm="1">
        <f t="array" aca="1" ref="X57" ca="1">INDEX($U$19:$U$30,$U57)</f>
        <v>20</v>
      </c>
      <c r="Y57" s="697">
        <f t="shared" ref="Y57:Y107" ca="1" si="20">IFERROR($W57/$X57,"")</f>
        <v>0</v>
      </c>
      <c r="Z57" s="698" t="str">
        <f t="shared" ref="Z57:Z107" ca="1" si="21">IF($Y57="","",IF($Y57&gt;1,"GOULOT",IF($Y57&gt;0.8,"Tendu","OK")))</f>
        <v>OK</v>
      </c>
    </row>
    <row r="58" spans="1:26" ht="13.95" customHeight="1">
      <c r="A58" s="689">
        <f t="shared" ref="A58:A107" si="22">A57+1</f>
        <v>3</v>
      </c>
      <c r="B58" s="690" t="str" cm="1">
        <f t="array" aca="1" ref="B58" ca="1">INDEX($B$19:$B$30,$U58)</f>
        <v>JANVIER</v>
      </c>
      <c r="C58" s="691" cm="1">
        <f t="array" aca="1" ref="C58" ca="1">_xlfn.LET(_xlpm.w,INDEX(C$19:C$30,$U58),_xlpm.tot,SUMPRODUCT(C$19:C$30,$T$19:$T$30),_xlpm.n,C$14,_xlpm.cum,SUMPRODUCT((ROW($C$19:$C$30)-18&lt;$U58)*C$19:C$30*$T$19:$T$30)+$V58*_xlpm.w,IF(OR(_xlpm.n="",_xlpm.n=0,_xlpm.tot=0,_xlpm.w=0),0,ROUND(_xlpm.cum/_xlpm.tot*_xlpm.n,0)-ROUND((_xlpm.cum-_xlpm.w)/_xlpm.tot*_xlpm.n,0)))</f>
        <v>0</v>
      </c>
      <c r="D58" s="691" cm="1">
        <f t="array" aca="1" ref="D58" ca="1">_xlfn.LET(_xlpm.w,INDEX(D$19:D$30,$U58),_xlpm.tot,SUMPRODUCT(D$19:D$30,$T$19:$T$30),_xlpm.n,D$14,_xlpm.cum,SUMPRODUCT((ROW($C$19:$C$30)-18&lt;$U58)*D$19:D$30*$T$19:$T$30)+$V58*_xlpm.w,IF(OR(_xlpm.n="",_xlpm.n=0,_xlpm.tot=0,_xlpm.w=0),0,ROUND(_xlpm.cum/_xlpm.tot*_xlpm.n,0)-ROUND((_xlpm.cum-_xlpm.w)/_xlpm.tot*_xlpm.n,0)))</f>
        <v>0</v>
      </c>
      <c r="E58" s="691" cm="1">
        <f t="array" aca="1" ref="E58" ca="1">_xlfn.LET(_xlpm.w,INDEX(E$19:E$30,$U58),_xlpm.tot,SUMPRODUCT(E$19:E$30,$T$19:$T$30),_xlpm.n,E$14,_xlpm.cum,SUMPRODUCT((ROW($C$19:$C$30)-18&lt;$U58)*E$19:E$30*$T$19:$T$30)+$V58*_xlpm.w,IF(OR(_xlpm.n="",_xlpm.n=0,_xlpm.tot=0,_xlpm.w=0),0,ROUND(_xlpm.cum/_xlpm.tot*_xlpm.n,0)-ROUND((_xlpm.cum-_xlpm.w)/_xlpm.tot*_xlpm.n,0)))</f>
        <v>0</v>
      </c>
      <c r="F58" s="691" cm="1">
        <f t="array" aca="1" ref="F58" ca="1">_xlfn.LET(_xlpm.w,INDEX(F$19:F$30,$U58),_xlpm.tot,SUMPRODUCT(F$19:F$30,$T$19:$T$30),_xlpm.n,F$14,_xlpm.cum,SUMPRODUCT((ROW($C$19:$C$30)-18&lt;$U58)*F$19:F$30*$T$19:$T$30)+$V58*_xlpm.w,IF(OR(_xlpm.n="",_xlpm.n=0,_xlpm.tot=0,_xlpm.w=0),0,ROUND(_xlpm.cum/_xlpm.tot*_xlpm.n,0)-ROUND((_xlpm.cum-_xlpm.w)/_xlpm.tot*_xlpm.n,0)))</f>
        <v>0</v>
      </c>
      <c r="G58" s="691" cm="1">
        <f t="array" aca="1" ref="G58" ca="1">_xlfn.LET(_xlpm.w,INDEX(G$19:G$30,$U58),_xlpm.tot,SUMPRODUCT(G$19:G$30,$T$19:$T$30),_xlpm.n,G$14,_xlpm.cum,SUMPRODUCT((ROW($C$19:$C$30)-18&lt;$U58)*G$19:G$30*$T$19:$T$30)+$V58*_xlpm.w,IF(OR(_xlpm.n="",_xlpm.n=0,_xlpm.tot=0,_xlpm.w=0),0,ROUND(_xlpm.cum/_xlpm.tot*_xlpm.n,0)-ROUND((_xlpm.cum-_xlpm.w)/_xlpm.tot*_xlpm.n,0)))</f>
        <v>0</v>
      </c>
      <c r="H58" s="691" cm="1">
        <f t="array" aca="1" ref="H58" ca="1">_xlfn.LET(_xlpm.w,INDEX(H$19:H$30,$U58),_xlpm.tot,SUMPRODUCT(H$19:H$30,$T$19:$T$30),_xlpm.n,H$14,_xlpm.cum,SUMPRODUCT((ROW($C$19:$C$30)-18&lt;$U58)*H$19:H$30*$T$19:$T$30)+$V58*_xlpm.w,IF(OR(_xlpm.n="",_xlpm.n=0,_xlpm.tot=0,_xlpm.w=0),0,ROUND(_xlpm.cum/_xlpm.tot*_xlpm.n,0)-ROUND((_xlpm.cum-_xlpm.w)/_xlpm.tot*_xlpm.n,0)))</f>
        <v>0</v>
      </c>
      <c r="I58" s="691" cm="1">
        <f t="array" aca="1" ref="I58" ca="1">_xlfn.LET(_xlpm.w,INDEX(I$19:I$30,$U58),_xlpm.tot,SUMPRODUCT(I$19:I$30,$T$19:$T$30),_xlpm.n,I$14,_xlpm.cum,SUMPRODUCT((ROW($C$19:$C$30)-18&lt;$U58)*I$19:I$30*$T$19:$T$30)+$V58*_xlpm.w,IF(OR(_xlpm.n="",_xlpm.n=0,_xlpm.tot=0,_xlpm.w=0),0,ROUND(_xlpm.cum/_xlpm.tot*_xlpm.n,0)-ROUND((_xlpm.cum-_xlpm.w)/_xlpm.tot*_xlpm.n,0)))</f>
        <v>0</v>
      </c>
      <c r="J58" s="691" cm="1">
        <f t="array" aca="1" ref="J58" ca="1">_xlfn.LET(_xlpm.w,INDEX(J$19:J$30,$U58),_xlpm.tot,SUMPRODUCT(J$19:J$30,$T$19:$T$30),_xlpm.n,J$14,_xlpm.cum,SUMPRODUCT((ROW($C$19:$C$30)-18&lt;$U58)*J$19:J$30*$T$19:$T$30)+$V58*_xlpm.w,IF(OR(_xlpm.n="",_xlpm.n=0,_xlpm.tot=0,_xlpm.w=0),0,ROUND(_xlpm.cum/_xlpm.tot*_xlpm.n,0)-ROUND((_xlpm.cum-_xlpm.w)/_xlpm.tot*_xlpm.n,0)))</f>
        <v>0</v>
      </c>
      <c r="K58" s="691" cm="1">
        <f t="array" aca="1" ref="K58" ca="1">_xlfn.LET(_xlpm.w,INDEX(K$19:K$30,$U58),_xlpm.tot,SUMPRODUCT(K$19:K$30,$T$19:$T$30),_xlpm.n,K$14,_xlpm.cum,SUMPRODUCT((ROW($C$19:$C$30)-18&lt;$U58)*K$19:K$30*$T$19:$T$30)+$V58*_xlpm.w,IF(OR(_xlpm.n="",_xlpm.n=0,_xlpm.tot=0,_xlpm.w=0),0,ROUND(_xlpm.cum/_xlpm.tot*_xlpm.n,0)-ROUND((_xlpm.cum-_xlpm.w)/_xlpm.tot*_xlpm.n,0)))</f>
        <v>0</v>
      </c>
      <c r="L58" s="691" cm="1">
        <f t="array" aca="1" ref="L58" ca="1">_xlfn.LET(_xlpm.w,INDEX(L$19:L$30,$U58),_xlpm.tot,SUMPRODUCT(L$19:L$30,$T$19:$T$30),_xlpm.n,L$14,_xlpm.cum,SUMPRODUCT((ROW($C$19:$C$30)-18&lt;$U58)*L$19:L$30*$T$19:$T$30)+$V58*_xlpm.w,IF(OR(_xlpm.n="",_xlpm.n=0,_xlpm.tot=0,_xlpm.w=0),0,ROUND(_xlpm.cum/_xlpm.tot*_xlpm.n,0)-ROUND((_xlpm.cum-_xlpm.w)/_xlpm.tot*_xlpm.n,0)))</f>
        <v>0</v>
      </c>
      <c r="M58" s="691" cm="1">
        <f t="array" aca="1" ref="M58" ca="1">_xlfn.LET(_xlpm.w,INDEX(M$19:M$30,$U58),_xlpm.tot,SUMPRODUCT(M$19:M$30,$T$19:$T$30),_xlpm.n,M$14,_xlpm.cum,SUMPRODUCT((ROW($C$19:$C$30)-18&lt;$U58)*M$19:M$30*$T$19:$T$30)+$V58*_xlpm.w,IF(OR(_xlpm.n="",_xlpm.n=0,_xlpm.tot=0,_xlpm.w=0),0,ROUND(_xlpm.cum/_xlpm.tot*_xlpm.n,0)-ROUND((_xlpm.cum-_xlpm.w)/_xlpm.tot*_xlpm.n,0)))</f>
        <v>0</v>
      </c>
      <c r="N58" s="691" cm="1">
        <f t="array" aca="1" ref="N58" ca="1">_xlfn.LET(_xlpm.w,INDEX(N$19:N$30,$U58),_xlpm.tot,SUMPRODUCT(N$19:N$30,$T$19:$T$30),_xlpm.n,N$14,_xlpm.cum,SUMPRODUCT((ROW($C$19:$C$30)-18&lt;$U58)*N$19:N$30*$T$19:$T$30)+$V58*_xlpm.w,IF(OR(_xlpm.n="",_xlpm.n=0,_xlpm.tot=0,_xlpm.w=0),0,ROUND(_xlpm.cum/_xlpm.tot*_xlpm.n,0)-ROUND((_xlpm.cum-_xlpm.w)/_xlpm.tot*_xlpm.n,0)))</f>
        <v>0</v>
      </c>
      <c r="O58" s="691" cm="1">
        <f t="array" aca="1" ref="O58" ca="1">_xlfn.LET(_xlpm.w,INDEX(O$19:O$30,$U58),_xlpm.tot,SUMPRODUCT(O$19:O$30,$T$19:$T$30),_xlpm.n,O$14,_xlpm.cum,SUMPRODUCT((ROW($C$19:$C$30)-18&lt;$U58)*O$19:O$30*$T$19:$T$30)+$V58*_xlpm.w,IF(OR(_xlpm.n="",_xlpm.n=0,_xlpm.tot=0,_xlpm.w=0),0,ROUND(_xlpm.cum/_xlpm.tot*_xlpm.n,0)-ROUND((_xlpm.cum-_xlpm.w)/_xlpm.tot*_xlpm.n,0)))</f>
        <v>0</v>
      </c>
      <c r="P58" s="691" cm="1">
        <f t="array" aca="1" ref="P58" ca="1">_xlfn.LET(_xlpm.w,INDEX(P$19:P$30,$U58),_xlpm.tot,SUMPRODUCT(P$19:P$30,$T$19:$T$30),_xlpm.n,P$14,_xlpm.cum,SUMPRODUCT((ROW($C$19:$C$30)-18&lt;$U58)*P$19:P$30*$T$19:$T$30)+$V58*_xlpm.w,IF(OR(_xlpm.n="",_xlpm.n=0,_xlpm.tot=0,_xlpm.w=0),0,ROUND(_xlpm.cum/_xlpm.tot*_xlpm.n,0)-ROUND((_xlpm.cum-_xlpm.w)/_xlpm.tot*_xlpm.n,0)))</f>
        <v>0</v>
      </c>
      <c r="Q58" s="691" cm="1">
        <f t="array" aca="1" ref="Q58" ca="1">_xlfn.LET(_xlpm.w,INDEX(Q$19:Q$30,$U58),_xlpm.tot,SUMPRODUCT(Q$19:Q$30,$T$19:$T$30),_xlpm.n,Q$14,_xlpm.cum,SUMPRODUCT((ROW($C$19:$C$30)-18&lt;$U58)*Q$19:Q$30*$T$19:$T$30)+$V58*_xlpm.w,IF(OR(_xlpm.n="",_xlpm.n=0,_xlpm.tot=0,_xlpm.w=0),0,ROUND(_xlpm.cum/_xlpm.tot*_xlpm.n,0)-ROUND((_xlpm.cum-_xlpm.w)/_xlpm.tot*_xlpm.n,0)))</f>
        <v>0</v>
      </c>
      <c r="R58" s="691" cm="1">
        <f t="array" aca="1" ref="R58" ca="1">_xlfn.LET(_xlpm.w,INDEX(R$19:R$30,$U58),_xlpm.tot,SUMPRODUCT(R$19:R$30,$T$19:$T$30),_xlpm.n,R$14,_xlpm.cum,SUMPRODUCT((ROW($C$19:$C$30)-18&lt;$U58)*R$19:R$30*$T$19:$T$30)+$V58*_xlpm.w,IF(OR(_xlpm.n="",_xlpm.n=0,_xlpm.tot=0,_xlpm.w=0),0,ROUND(_xlpm.cum/_xlpm.tot*_xlpm.n,0)-ROUND((_xlpm.cum-_xlpm.w)/_xlpm.tot*_xlpm.n,0)))</f>
        <v>0</v>
      </c>
      <c r="S58" s="692">
        <f t="shared" ca="1" si="16"/>
        <v>0</v>
      </c>
      <c r="T58" s="693">
        <f t="shared" ca="1" si="17"/>
        <v>46037</v>
      </c>
      <c r="U58" s="694">
        <f t="shared" ca="1" si="18"/>
        <v>1</v>
      </c>
      <c r="V58" s="694">
        <f ca="1">COUNTIFS($U$56:$U58,$U58)</f>
        <v>3</v>
      </c>
      <c r="W58" s="695">
        <f t="shared" ca="1" si="19"/>
        <v>0</v>
      </c>
      <c r="X58" s="696" cm="1">
        <f t="array" aca="1" ref="X58" ca="1">INDEX($U$19:$U$30,$U58)</f>
        <v>20</v>
      </c>
      <c r="Y58" s="697">
        <f t="shared" ca="1" si="20"/>
        <v>0</v>
      </c>
      <c r="Z58" s="698" t="str">
        <f t="shared" ca="1" si="21"/>
        <v>OK</v>
      </c>
    </row>
    <row r="59" spans="1:26" ht="13.95" customHeight="1">
      <c r="A59" s="689">
        <f t="shared" si="22"/>
        <v>4</v>
      </c>
      <c r="B59" s="690" t="str" cm="1">
        <f t="array" aca="1" ref="B59" ca="1">INDEX($B$19:$B$30,$U59)</f>
        <v>JANVIER</v>
      </c>
      <c r="C59" s="691" cm="1">
        <f t="array" aca="1" ref="C59" ca="1">_xlfn.LET(_xlpm.w,INDEX(C$19:C$30,$U59),_xlpm.tot,SUMPRODUCT(C$19:C$30,$T$19:$T$30),_xlpm.n,C$14,_xlpm.cum,SUMPRODUCT((ROW($C$19:$C$30)-18&lt;$U59)*C$19:C$30*$T$19:$T$30)+$V59*_xlpm.w,IF(OR(_xlpm.n="",_xlpm.n=0,_xlpm.tot=0,_xlpm.w=0),0,ROUND(_xlpm.cum/_xlpm.tot*_xlpm.n,0)-ROUND((_xlpm.cum-_xlpm.w)/_xlpm.tot*_xlpm.n,0)))</f>
        <v>0</v>
      </c>
      <c r="D59" s="691" cm="1">
        <f t="array" aca="1" ref="D59" ca="1">_xlfn.LET(_xlpm.w,INDEX(D$19:D$30,$U59),_xlpm.tot,SUMPRODUCT(D$19:D$30,$T$19:$T$30),_xlpm.n,D$14,_xlpm.cum,SUMPRODUCT((ROW($C$19:$C$30)-18&lt;$U59)*D$19:D$30*$T$19:$T$30)+$V59*_xlpm.w,IF(OR(_xlpm.n="",_xlpm.n=0,_xlpm.tot=0,_xlpm.w=0),0,ROUND(_xlpm.cum/_xlpm.tot*_xlpm.n,0)-ROUND((_xlpm.cum-_xlpm.w)/_xlpm.tot*_xlpm.n,0)))</f>
        <v>1</v>
      </c>
      <c r="E59" s="691" cm="1">
        <f t="array" aca="1" ref="E59" ca="1">_xlfn.LET(_xlpm.w,INDEX(E$19:E$30,$U59),_xlpm.tot,SUMPRODUCT(E$19:E$30,$T$19:$T$30),_xlpm.n,E$14,_xlpm.cum,SUMPRODUCT((ROW($C$19:$C$30)-18&lt;$U59)*E$19:E$30*$T$19:$T$30)+$V59*_xlpm.w,IF(OR(_xlpm.n="",_xlpm.n=0,_xlpm.tot=0,_xlpm.w=0),0,ROUND(_xlpm.cum/_xlpm.tot*_xlpm.n,0)-ROUND((_xlpm.cum-_xlpm.w)/_xlpm.tot*_xlpm.n,0)))</f>
        <v>0</v>
      </c>
      <c r="F59" s="691" cm="1">
        <f t="array" aca="1" ref="F59" ca="1">_xlfn.LET(_xlpm.w,INDEX(F$19:F$30,$U59),_xlpm.tot,SUMPRODUCT(F$19:F$30,$T$19:$T$30),_xlpm.n,F$14,_xlpm.cum,SUMPRODUCT((ROW($C$19:$C$30)-18&lt;$U59)*F$19:F$30*$T$19:$T$30)+$V59*_xlpm.w,IF(OR(_xlpm.n="",_xlpm.n=0,_xlpm.tot=0,_xlpm.w=0),0,ROUND(_xlpm.cum/_xlpm.tot*_xlpm.n,0)-ROUND((_xlpm.cum-_xlpm.w)/_xlpm.tot*_xlpm.n,0)))</f>
        <v>0</v>
      </c>
      <c r="G59" s="691" cm="1">
        <f t="array" aca="1" ref="G59" ca="1">_xlfn.LET(_xlpm.w,INDEX(G$19:G$30,$U59),_xlpm.tot,SUMPRODUCT(G$19:G$30,$T$19:$T$30),_xlpm.n,G$14,_xlpm.cum,SUMPRODUCT((ROW($C$19:$C$30)-18&lt;$U59)*G$19:G$30*$T$19:$T$30)+$V59*_xlpm.w,IF(OR(_xlpm.n="",_xlpm.n=0,_xlpm.tot=0,_xlpm.w=0),0,ROUND(_xlpm.cum/_xlpm.tot*_xlpm.n,0)-ROUND((_xlpm.cum-_xlpm.w)/_xlpm.tot*_xlpm.n,0)))</f>
        <v>0</v>
      </c>
      <c r="H59" s="691" cm="1">
        <f t="array" aca="1" ref="H59" ca="1">_xlfn.LET(_xlpm.w,INDEX(H$19:H$30,$U59),_xlpm.tot,SUMPRODUCT(H$19:H$30,$T$19:$T$30),_xlpm.n,H$14,_xlpm.cum,SUMPRODUCT((ROW($C$19:$C$30)-18&lt;$U59)*H$19:H$30*$T$19:$T$30)+$V59*_xlpm.w,IF(OR(_xlpm.n="",_xlpm.n=0,_xlpm.tot=0,_xlpm.w=0),0,ROUND(_xlpm.cum/_xlpm.tot*_xlpm.n,0)-ROUND((_xlpm.cum-_xlpm.w)/_xlpm.tot*_xlpm.n,0)))</f>
        <v>0</v>
      </c>
      <c r="I59" s="691" cm="1">
        <f t="array" aca="1" ref="I59" ca="1">_xlfn.LET(_xlpm.w,INDEX(I$19:I$30,$U59),_xlpm.tot,SUMPRODUCT(I$19:I$30,$T$19:$T$30),_xlpm.n,I$14,_xlpm.cum,SUMPRODUCT((ROW($C$19:$C$30)-18&lt;$U59)*I$19:I$30*$T$19:$T$30)+$V59*_xlpm.w,IF(OR(_xlpm.n="",_xlpm.n=0,_xlpm.tot=0,_xlpm.w=0),0,ROUND(_xlpm.cum/_xlpm.tot*_xlpm.n,0)-ROUND((_xlpm.cum-_xlpm.w)/_xlpm.tot*_xlpm.n,0)))</f>
        <v>0</v>
      </c>
      <c r="J59" s="691" cm="1">
        <f t="array" aca="1" ref="J59" ca="1">_xlfn.LET(_xlpm.w,INDEX(J$19:J$30,$U59),_xlpm.tot,SUMPRODUCT(J$19:J$30,$T$19:$T$30),_xlpm.n,J$14,_xlpm.cum,SUMPRODUCT((ROW($C$19:$C$30)-18&lt;$U59)*J$19:J$30*$T$19:$T$30)+$V59*_xlpm.w,IF(OR(_xlpm.n="",_xlpm.n=0,_xlpm.tot=0,_xlpm.w=0),0,ROUND(_xlpm.cum/_xlpm.tot*_xlpm.n,0)-ROUND((_xlpm.cum-_xlpm.w)/_xlpm.tot*_xlpm.n,0)))</f>
        <v>0</v>
      </c>
      <c r="K59" s="691" cm="1">
        <f t="array" aca="1" ref="K59" ca="1">_xlfn.LET(_xlpm.w,INDEX(K$19:K$30,$U59),_xlpm.tot,SUMPRODUCT(K$19:K$30,$T$19:$T$30),_xlpm.n,K$14,_xlpm.cum,SUMPRODUCT((ROW($C$19:$C$30)-18&lt;$U59)*K$19:K$30*$T$19:$T$30)+$V59*_xlpm.w,IF(OR(_xlpm.n="",_xlpm.n=0,_xlpm.tot=0,_xlpm.w=0),0,ROUND(_xlpm.cum/_xlpm.tot*_xlpm.n,0)-ROUND((_xlpm.cum-_xlpm.w)/_xlpm.tot*_xlpm.n,0)))</f>
        <v>0</v>
      </c>
      <c r="L59" s="691" cm="1">
        <f t="array" aca="1" ref="L59" ca="1">_xlfn.LET(_xlpm.w,INDEX(L$19:L$30,$U59),_xlpm.tot,SUMPRODUCT(L$19:L$30,$T$19:$T$30),_xlpm.n,L$14,_xlpm.cum,SUMPRODUCT((ROW($C$19:$C$30)-18&lt;$U59)*L$19:L$30*$T$19:$T$30)+$V59*_xlpm.w,IF(OR(_xlpm.n="",_xlpm.n=0,_xlpm.tot=0,_xlpm.w=0),0,ROUND(_xlpm.cum/_xlpm.tot*_xlpm.n,0)-ROUND((_xlpm.cum-_xlpm.w)/_xlpm.tot*_xlpm.n,0)))</f>
        <v>0</v>
      </c>
      <c r="M59" s="691" cm="1">
        <f t="array" aca="1" ref="M59" ca="1">_xlfn.LET(_xlpm.w,INDEX(M$19:M$30,$U59),_xlpm.tot,SUMPRODUCT(M$19:M$30,$T$19:$T$30),_xlpm.n,M$14,_xlpm.cum,SUMPRODUCT((ROW($C$19:$C$30)-18&lt;$U59)*M$19:M$30*$T$19:$T$30)+$V59*_xlpm.w,IF(OR(_xlpm.n="",_xlpm.n=0,_xlpm.tot=0,_xlpm.w=0),0,ROUND(_xlpm.cum/_xlpm.tot*_xlpm.n,0)-ROUND((_xlpm.cum-_xlpm.w)/_xlpm.tot*_xlpm.n,0)))</f>
        <v>0</v>
      </c>
      <c r="N59" s="691" cm="1">
        <f t="array" aca="1" ref="N59" ca="1">_xlfn.LET(_xlpm.w,INDEX(N$19:N$30,$U59),_xlpm.tot,SUMPRODUCT(N$19:N$30,$T$19:$T$30),_xlpm.n,N$14,_xlpm.cum,SUMPRODUCT((ROW($C$19:$C$30)-18&lt;$U59)*N$19:N$30*$T$19:$T$30)+$V59*_xlpm.w,IF(OR(_xlpm.n="",_xlpm.n=0,_xlpm.tot=0,_xlpm.w=0),0,ROUND(_xlpm.cum/_xlpm.tot*_xlpm.n,0)-ROUND((_xlpm.cum-_xlpm.w)/_xlpm.tot*_xlpm.n,0)))</f>
        <v>0</v>
      </c>
      <c r="O59" s="691" cm="1">
        <f t="array" aca="1" ref="O59" ca="1">_xlfn.LET(_xlpm.w,INDEX(O$19:O$30,$U59),_xlpm.tot,SUMPRODUCT(O$19:O$30,$T$19:$T$30),_xlpm.n,O$14,_xlpm.cum,SUMPRODUCT((ROW($C$19:$C$30)-18&lt;$U59)*O$19:O$30*$T$19:$T$30)+$V59*_xlpm.w,IF(OR(_xlpm.n="",_xlpm.n=0,_xlpm.tot=0,_xlpm.w=0),0,ROUND(_xlpm.cum/_xlpm.tot*_xlpm.n,0)-ROUND((_xlpm.cum-_xlpm.w)/_xlpm.tot*_xlpm.n,0)))</f>
        <v>0</v>
      </c>
      <c r="P59" s="691" cm="1">
        <f t="array" aca="1" ref="P59" ca="1">_xlfn.LET(_xlpm.w,INDEX(P$19:P$30,$U59),_xlpm.tot,SUMPRODUCT(P$19:P$30,$T$19:$T$30),_xlpm.n,P$14,_xlpm.cum,SUMPRODUCT((ROW($C$19:$C$30)-18&lt;$U59)*P$19:P$30*$T$19:$T$30)+$V59*_xlpm.w,IF(OR(_xlpm.n="",_xlpm.n=0,_xlpm.tot=0,_xlpm.w=0),0,ROUND(_xlpm.cum/_xlpm.tot*_xlpm.n,0)-ROUND((_xlpm.cum-_xlpm.w)/_xlpm.tot*_xlpm.n,0)))</f>
        <v>0</v>
      </c>
      <c r="Q59" s="691" cm="1">
        <f t="array" aca="1" ref="Q59" ca="1">_xlfn.LET(_xlpm.w,INDEX(Q$19:Q$30,$U59),_xlpm.tot,SUMPRODUCT(Q$19:Q$30,$T$19:$T$30),_xlpm.n,Q$14,_xlpm.cum,SUMPRODUCT((ROW($C$19:$C$30)-18&lt;$U59)*Q$19:Q$30*$T$19:$T$30)+$V59*_xlpm.w,IF(OR(_xlpm.n="",_xlpm.n=0,_xlpm.tot=0,_xlpm.w=0),0,ROUND(_xlpm.cum/_xlpm.tot*_xlpm.n,0)-ROUND((_xlpm.cum-_xlpm.w)/_xlpm.tot*_xlpm.n,0)))</f>
        <v>0</v>
      </c>
      <c r="R59" s="691" cm="1">
        <f t="array" aca="1" ref="R59" ca="1">_xlfn.LET(_xlpm.w,INDEX(R$19:R$30,$U59),_xlpm.tot,SUMPRODUCT(R$19:R$30,$T$19:$T$30),_xlpm.n,R$14,_xlpm.cum,SUMPRODUCT((ROW($C$19:$C$30)-18&lt;$U59)*R$19:R$30*$T$19:$T$30)+$V59*_xlpm.w,IF(OR(_xlpm.n="",_xlpm.n=0,_xlpm.tot=0,_xlpm.w=0),0,ROUND(_xlpm.cum/_xlpm.tot*_xlpm.n,0)-ROUND((_xlpm.cum-_xlpm.w)/_xlpm.tot*_xlpm.n,0)))</f>
        <v>0</v>
      </c>
      <c r="S59" s="692">
        <f t="shared" ca="1" si="16"/>
        <v>1</v>
      </c>
      <c r="T59" s="693">
        <f t="shared" ca="1" si="17"/>
        <v>46044</v>
      </c>
      <c r="U59" s="694">
        <f t="shared" ca="1" si="18"/>
        <v>1</v>
      </c>
      <c r="V59" s="694">
        <f ca="1">COUNTIFS($U$56:$U59,$U59)</f>
        <v>4</v>
      </c>
      <c r="W59" s="695">
        <f t="shared" ca="1" si="19"/>
        <v>4.8</v>
      </c>
      <c r="X59" s="696" cm="1">
        <f t="array" aca="1" ref="X59" ca="1">INDEX($U$19:$U$30,$U59)</f>
        <v>20</v>
      </c>
      <c r="Y59" s="697">
        <f t="shared" ca="1" si="20"/>
        <v>0.24</v>
      </c>
      <c r="Z59" s="698" t="str">
        <f t="shared" ca="1" si="21"/>
        <v>OK</v>
      </c>
    </row>
    <row r="60" spans="1:26" ht="13.95" customHeight="1">
      <c r="A60" s="689">
        <f t="shared" si="22"/>
        <v>5</v>
      </c>
      <c r="B60" s="690" t="str" cm="1">
        <f t="array" aca="1" ref="B60" ca="1">INDEX($B$19:$B$30,$U60)</f>
        <v>FÉVRIER</v>
      </c>
      <c r="C60" s="691" cm="1">
        <f t="array" aca="1" ref="C60" ca="1">_xlfn.LET(_xlpm.w,INDEX(C$19:C$30,$U60),_xlpm.tot,SUMPRODUCT(C$19:C$30,$T$19:$T$30),_xlpm.n,C$14,_xlpm.cum,SUMPRODUCT((ROW($C$19:$C$30)-18&lt;$U60)*C$19:C$30*$T$19:$T$30)+$V60*_xlpm.w,IF(OR(_xlpm.n="",_xlpm.n=0,_xlpm.tot=0,_xlpm.w=0),0,ROUND(_xlpm.cum/_xlpm.tot*_xlpm.n,0)-ROUND((_xlpm.cum-_xlpm.w)/_xlpm.tot*_xlpm.n,0)))</f>
        <v>0</v>
      </c>
      <c r="D60" s="691" cm="1">
        <f t="array" aca="1" ref="D60" ca="1">_xlfn.LET(_xlpm.w,INDEX(D$19:D$30,$U60),_xlpm.tot,SUMPRODUCT(D$19:D$30,$T$19:$T$30),_xlpm.n,D$14,_xlpm.cum,SUMPRODUCT((ROW($C$19:$C$30)-18&lt;$U60)*D$19:D$30*$T$19:$T$30)+$V60*_xlpm.w,IF(OR(_xlpm.n="",_xlpm.n=0,_xlpm.tot=0,_xlpm.w=0),0,ROUND(_xlpm.cum/_xlpm.tot*_xlpm.n,0)-ROUND((_xlpm.cum-_xlpm.w)/_xlpm.tot*_xlpm.n,0)))</f>
        <v>0</v>
      </c>
      <c r="E60" s="691" cm="1">
        <f t="array" aca="1" ref="E60" ca="1">_xlfn.LET(_xlpm.w,INDEX(E$19:E$30,$U60),_xlpm.tot,SUMPRODUCT(E$19:E$30,$T$19:$T$30),_xlpm.n,E$14,_xlpm.cum,SUMPRODUCT((ROW($C$19:$C$30)-18&lt;$U60)*E$19:E$30*$T$19:$T$30)+$V60*_xlpm.w,IF(OR(_xlpm.n="",_xlpm.n=0,_xlpm.tot=0,_xlpm.w=0),0,ROUND(_xlpm.cum/_xlpm.tot*_xlpm.n,0)-ROUND((_xlpm.cum-_xlpm.w)/_xlpm.tot*_xlpm.n,0)))</f>
        <v>0</v>
      </c>
      <c r="F60" s="691" cm="1">
        <f t="array" aca="1" ref="F60" ca="1">_xlfn.LET(_xlpm.w,INDEX(F$19:F$30,$U60),_xlpm.tot,SUMPRODUCT(F$19:F$30,$T$19:$T$30),_xlpm.n,F$14,_xlpm.cum,SUMPRODUCT((ROW($C$19:$C$30)-18&lt;$U60)*F$19:F$30*$T$19:$T$30)+$V60*_xlpm.w,IF(OR(_xlpm.n="",_xlpm.n=0,_xlpm.tot=0,_xlpm.w=0),0,ROUND(_xlpm.cum/_xlpm.tot*_xlpm.n,0)-ROUND((_xlpm.cum-_xlpm.w)/_xlpm.tot*_xlpm.n,0)))</f>
        <v>1</v>
      </c>
      <c r="G60" s="691" cm="1">
        <f t="array" aca="1" ref="G60" ca="1">_xlfn.LET(_xlpm.w,INDEX(G$19:G$30,$U60),_xlpm.tot,SUMPRODUCT(G$19:G$30,$T$19:$T$30),_xlpm.n,G$14,_xlpm.cum,SUMPRODUCT((ROW($C$19:$C$30)-18&lt;$U60)*G$19:G$30*$T$19:$T$30)+$V60*_xlpm.w,IF(OR(_xlpm.n="",_xlpm.n=0,_xlpm.tot=0,_xlpm.w=0),0,ROUND(_xlpm.cum/_xlpm.tot*_xlpm.n,0)-ROUND((_xlpm.cum-_xlpm.w)/_xlpm.tot*_xlpm.n,0)))</f>
        <v>0</v>
      </c>
      <c r="H60" s="691" cm="1">
        <f t="array" aca="1" ref="H60" ca="1">_xlfn.LET(_xlpm.w,INDEX(H$19:H$30,$U60),_xlpm.tot,SUMPRODUCT(H$19:H$30,$T$19:$T$30),_xlpm.n,H$14,_xlpm.cum,SUMPRODUCT((ROW($C$19:$C$30)-18&lt;$U60)*H$19:H$30*$T$19:$T$30)+$V60*_xlpm.w,IF(OR(_xlpm.n="",_xlpm.n=0,_xlpm.tot=0,_xlpm.w=0),0,ROUND(_xlpm.cum/_xlpm.tot*_xlpm.n,0)-ROUND((_xlpm.cum-_xlpm.w)/_xlpm.tot*_xlpm.n,0)))</f>
        <v>0</v>
      </c>
      <c r="I60" s="691" cm="1">
        <f t="array" aca="1" ref="I60" ca="1">_xlfn.LET(_xlpm.w,INDEX(I$19:I$30,$U60),_xlpm.tot,SUMPRODUCT(I$19:I$30,$T$19:$T$30),_xlpm.n,I$14,_xlpm.cum,SUMPRODUCT((ROW($C$19:$C$30)-18&lt;$U60)*I$19:I$30*$T$19:$T$30)+$V60*_xlpm.w,IF(OR(_xlpm.n="",_xlpm.n=0,_xlpm.tot=0,_xlpm.w=0),0,ROUND(_xlpm.cum/_xlpm.tot*_xlpm.n,0)-ROUND((_xlpm.cum-_xlpm.w)/_xlpm.tot*_xlpm.n,0)))</f>
        <v>0</v>
      </c>
      <c r="J60" s="691" cm="1">
        <f t="array" aca="1" ref="J60" ca="1">_xlfn.LET(_xlpm.w,INDEX(J$19:J$30,$U60),_xlpm.tot,SUMPRODUCT(J$19:J$30,$T$19:$T$30),_xlpm.n,J$14,_xlpm.cum,SUMPRODUCT((ROW($C$19:$C$30)-18&lt;$U60)*J$19:J$30*$T$19:$T$30)+$V60*_xlpm.w,IF(OR(_xlpm.n="",_xlpm.n=0,_xlpm.tot=0,_xlpm.w=0),0,ROUND(_xlpm.cum/_xlpm.tot*_xlpm.n,0)-ROUND((_xlpm.cum-_xlpm.w)/_xlpm.tot*_xlpm.n,0)))</f>
        <v>0</v>
      </c>
      <c r="K60" s="691" cm="1">
        <f t="array" aca="1" ref="K60" ca="1">_xlfn.LET(_xlpm.w,INDEX(K$19:K$30,$U60),_xlpm.tot,SUMPRODUCT(K$19:K$30,$T$19:$T$30),_xlpm.n,K$14,_xlpm.cum,SUMPRODUCT((ROW($C$19:$C$30)-18&lt;$U60)*K$19:K$30*$T$19:$T$30)+$V60*_xlpm.w,IF(OR(_xlpm.n="",_xlpm.n=0,_xlpm.tot=0,_xlpm.w=0),0,ROUND(_xlpm.cum/_xlpm.tot*_xlpm.n,0)-ROUND((_xlpm.cum-_xlpm.w)/_xlpm.tot*_xlpm.n,0)))</f>
        <v>0</v>
      </c>
      <c r="L60" s="691" cm="1">
        <f t="array" aca="1" ref="L60" ca="1">_xlfn.LET(_xlpm.w,INDEX(L$19:L$30,$U60),_xlpm.tot,SUMPRODUCT(L$19:L$30,$T$19:$T$30),_xlpm.n,L$14,_xlpm.cum,SUMPRODUCT((ROW($C$19:$C$30)-18&lt;$U60)*L$19:L$30*$T$19:$T$30)+$V60*_xlpm.w,IF(OR(_xlpm.n="",_xlpm.n=0,_xlpm.tot=0,_xlpm.w=0),0,ROUND(_xlpm.cum/_xlpm.tot*_xlpm.n,0)-ROUND((_xlpm.cum-_xlpm.w)/_xlpm.tot*_xlpm.n,0)))</f>
        <v>0</v>
      </c>
      <c r="M60" s="691" cm="1">
        <f t="array" aca="1" ref="M60" ca="1">_xlfn.LET(_xlpm.w,INDEX(M$19:M$30,$U60),_xlpm.tot,SUMPRODUCT(M$19:M$30,$T$19:$T$30),_xlpm.n,M$14,_xlpm.cum,SUMPRODUCT((ROW($C$19:$C$30)-18&lt;$U60)*M$19:M$30*$T$19:$T$30)+$V60*_xlpm.w,IF(OR(_xlpm.n="",_xlpm.n=0,_xlpm.tot=0,_xlpm.w=0),0,ROUND(_xlpm.cum/_xlpm.tot*_xlpm.n,0)-ROUND((_xlpm.cum-_xlpm.w)/_xlpm.tot*_xlpm.n,0)))</f>
        <v>0</v>
      </c>
      <c r="N60" s="691" cm="1">
        <f t="array" aca="1" ref="N60" ca="1">_xlfn.LET(_xlpm.w,INDEX(N$19:N$30,$U60),_xlpm.tot,SUMPRODUCT(N$19:N$30,$T$19:$T$30),_xlpm.n,N$14,_xlpm.cum,SUMPRODUCT((ROW($C$19:$C$30)-18&lt;$U60)*N$19:N$30*$T$19:$T$30)+$V60*_xlpm.w,IF(OR(_xlpm.n="",_xlpm.n=0,_xlpm.tot=0,_xlpm.w=0),0,ROUND(_xlpm.cum/_xlpm.tot*_xlpm.n,0)-ROUND((_xlpm.cum-_xlpm.w)/_xlpm.tot*_xlpm.n,0)))</f>
        <v>0</v>
      </c>
      <c r="O60" s="691" cm="1">
        <f t="array" aca="1" ref="O60" ca="1">_xlfn.LET(_xlpm.w,INDEX(O$19:O$30,$U60),_xlpm.tot,SUMPRODUCT(O$19:O$30,$T$19:$T$30),_xlpm.n,O$14,_xlpm.cum,SUMPRODUCT((ROW($C$19:$C$30)-18&lt;$U60)*O$19:O$30*$T$19:$T$30)+$V60*_xlpm.w,IF(OR(_xlpm.n="",_xlpm.n=0,_xlpm.tot=0,_xlpm.w=0),0,ROUND(_xlpm.cum/_xlpm.tot*_xlpm.n,0)-ROUND((_xlpm.cum-_xlpm.w)/_xlpm.tot*_xlpm.n,0)))</f>
        <v>0</v>
      </c>
      <c r="P60" s="691" cm="1">
        <f t="array" aca="1" ref="P60" ca="1">_xlfn.LET(_xlpm.w,INDEX(P$19:P$30,$U60),_xlpm.tot,SUMPRODUCT(P$19:P$30,$T$19:$T$30),_xlpm.n,P$14,_xlpm.cum,SUMPRODUCT((ROW($C$19:$C$30)-18&lt;$U60)*P$19:P$30*$T$19:$T$30)+$V60*_xlpm.w,IF(OR(_xlpm.n="",_xlpm.n=0,_xlpm.tot=0,_xlpm.w=0),0,ROUND(_xlpm.cum/_xlpm.tot*_xlpm.n,0)-ROUND((_xlpm.cum-_xlpm.w)/_xlpm.tot*_xlpm.n,0)))</f>
        <v>0</v>
      </c>
      <c r="Q60" s="691" cm="1">
        <f t="array" aca="1" ref="Q60" ca="1">_xlfn.LET(_xlpm.w,INDEX(Q$19:Q$30,$U60),_xlpm.tot,SUMPRODUCT(Q$19:Q$30,$T$19:$T$30),_xlpm.n,Q$14,_xlpm.cum,SUMPRODUCT((ROW($C$19:$C$30)-18&lt;$U60)*Q$19:Q$30*$T$19:$T$30)+$V60*_xlpm.w,IF(OR(_xlpm.n="",_xlpm.n=0,_xlpm.tot=0,_xlpm.w=0),0,ROUND(_xlpm.cum/_xlpm.tot*_xlpm.n,0)-ROUND((_xlpm.cum-_xlpm.w)/_xlpm.tot*_xlpm.n,0)))</f>
        <v>0</v>
      </c>
      <c r="R60" s="691" cm="1">
        <f t="array" aca="1" ref="R60" ca="1">_xlfn.LET(_xlpm.w,INDEX(R$19:R$30,$U60),_xlpm.tot,SUMPRODUCT(R$19:R$30,$T$19:$T$30),_xlpm.n,R$14,_xlpm.cum,SUMPRODUCT((ROW($C$19:$C$30)-18&lt;$U60)*R$19:R$30*$T$19:$T$30)+$V60*_xlpm.w,IF(OR(_xlpm.n="",_xlpm.n=0,_xlpm.tot=0,_xlpm.w=0),0,ROUND(_xlpm.cum/_xlpm.tot*_xlpm.n,0)-ROUND((_xlpm.cum-_xlpm.w)/_xlpm.tot*_xlpm.n,0)))</f>
        <v>0</v>
      </c>
      <c r="S60" s="692">
        <f t="shared" ca="1" si="16"/>
        <v>1</v>
      </c>
      <c r="T60" s="693">
        <f t="shared" ca="1" si="17"/>
        <v>46051</v>
      </c>
      <c r="U60" s="694">
        <f t="shared" ca="1" si="18"/>
        <v>2</v>
      </c>
      <c r="V60" s="694">
        <f ca="1">COUNTIFS($U$56:$U60,$U60)</f>
        <v>1</v>
      </c>
      <c r="W60" s="695">
        <f t="shared" ca="1" si="19"/>
        <v>4.8</v>
      </c>
      <c r="X60" s="696" cm="1">
        <f t="array" aca="1" ref="X60" ca="1">INDEX($U$19:$U$30,$U60)</f>
        <v>20</v>
      </c>
      <c r="Y60" s="697">
        <f t="shared" ca="1" si="20"/>
        <v>0.24</v>
      </c>
      <c r="Z60" s="698" t="str">
        <f t="shared" ca="1" si="21"/>
        <v>OK</v>
      </c>
    </row>
    <row r="61" spans="1:26" ht="13.95" customHeight="1">
      <c r="A61" s="689">
        <f t="shared" si="22"/>
        <v>6</v>
      </c>
      <c r="B61" s="690" t="str" cm="1">
        <f t="array" aca="1" ref="B61" ca="1">INDEX($B$19:$B$30,$U61)</f>
        <v>FÉVRIER</v>
      </c>
      <c r="C61" s="691" cm="1">
        <f t="array" aca="1" ref="C61" ca="1">_xlfn.LET(_xlpm.w,INDEX(C$19:C$30,$U61),_xlpm.tot,SUMPRODUCT(C$19:C$30,$T$19:$T$30),_xlpm.n,C$14,_xlpm.cum,SUMPRODUCT((ROW($C$19:$C$30)-18&lt;$U61)*C$19:C$30*$T$19:$T$30)+$V61*_xlpm.w,IF(OR(_xlpm.n="",_xlpm.n=0,_xlpm.tot=0,_xlpm.w=0),0,ROUND(_xlpm.cum/_xlpm.tot*_xlpm.n,0)-ROUND((_xlpm.cum-_xlpm.w)/_xlpm.tot*_xlpm.n,0)))</f>
        <v>0</v>
      </c>
      <c r="D61" s="691" cm="1">
        <f t="array" aca="1" ref="D61" ca="1">_xlfn.LET(_xlpm.w,INDEX(D$19:D$30,$U61),_xlpm.tot,SUMPRODUCT(D$19:D$30,$T$19:$T$30),_xlpm.n,D$14,_xlpm.cum,SUMPRODUCT((ROW($C$19:$C$30)-18&lt;$U61)*D$19:D$30*$T$19:$T$30)+$V61*_xlpm.w,IF(OR(_xlpm.n="",_xlpm.n=0,_xlpm.tot=0,_xlpm.w=0),0,ROUND(_xlpm.cum/_xlpm.tot*_xlpm.n,0)-ROUND((_xlpm.cum-_xlpm.w)/_xlpm.tot*_xlpm.n,0)))</f>
        <v>0</v>
      </c>
      <c r="E61" s="691" cm="1">
        <f t="array" aca="1" ref="E61" ca="1">_xlfn.LET(_xlpm.w,INDEX(E$19:E$30,$U61),_xlpm.tot,SUMPRODUCT(E$19:E$30,$T$19:$T$30),_xlpm.n,E$14,_xlpm.cum,SUMPRODUCT((ROW($C$19:$C$30)-18&lt;$U61)*E$19:E$30*$T$19:$T$30)+$V61*_xlpm.w,IF(OR(_xlpm.n="",_xlpm.n=0,_xlpm.tot=0,_xlpm.w=0),0,ROUND(_xlpm.cum/_xlpm.tot*_xlpm.n,0)-ROUND((_xlpm.cum-_xlpm.w)/_xlpm.tot*_xlpm.n,0)))</f>
        <v>0</v>
      </c>
      <c r="F61" s="691" cm="1">
        <f t="array" aca="1" ref="F61" ca="1">_xlfn.LET(_xlpm.w,INDEX(F$19:F$30,$U61),_xlpm.tot,SUMPRODUCT(F$19:F$30,$T$19:$T$30),_xlpm.n,F$14,_xlpm.cum,SUMPRODUCT((ROW($C$19:$C$30)-18&lt;$U61)*F$19:F$30*$T$19:$T$30)+$V61*_xlpm.w,IF(OR(_xlpm.n="",_xlpm.n=0,_xlpm.tot=0,_xlpm.w=0),0,ROUND(_xlpm.cum/_xlpm.tot*_xlpm.n,0)-ROUND((_xlpm.cum-_xlpm.w)/_xlpm.tot*_xlpm.n,0)))</f>
        <v>1</v>
      </c>
      <c r="G61" s="691" cm="1">
        <f t="array" aca="1" ref="G61" ca="1">_xlfn.LET(_xlpm.w,INDEX(G$19:G$30,$U61),_xlpm.tot,SUMPRODUCT(G$19:G$30,$T$19:$T$30),_xlpm.n,G$14,_xlpm.cum,SUMPRODUCT((ROW($C$19:$C$30)-18&lt;$U61)*G$19:G$30*$T$19:$T$30)+$V61*_xlpm.w,IF(OR(_xlpm.n="",_xlpm.n=0,_xlpm.tot=0,_xlpm.w=0),0,ROUND(_xlpm.cum/_xlpm.tot*_xlpm.n,0)-ROUND((_xlpm.cum-_xlpm.w)/_xlpm.tot*_xlpm.n,0)))</f>
        <v>0</v>
      </c>
      <c r="H61" s="691" cm="1">
        <f t="array" aca="1" ref="H61" ca="1">_xlfn.LET(_xlpm.w,INDEX(H$19:H$30,$U61),_xlpm.tot,SUMPRODUCT(H$19:H$30,$T$19:$T$30),_xlpm.n,H$14,_xlpm.cum,SUMPRODUCT((ROW($C$19:$C$30)-18&lt;$U61)*H$19:H$30*$T$19:$T$30)+$V61*_xlpm.w,IF(OR(_xlpm.n="",_xlpm.n=0,_xlpm.tot=0,_xlpm.w=0),0,ROUND(_xlpm.cum/_xlpm.tot*_xlpm.n,0)-ROUND((_xlpm.cum-_xlpm.w)/_xlpm.tot*_xlpm.n,0)))</f>
        <v>0</v>
      </c>
      <c r="I61" s="691" cm="1">
        <f t="array" aca="1" ref="I61" ca="1">_xlfn.LET(_xlpm.w,INDEX(I$19:I$30,$U61),_xlpm.tot,SUMPRODUCT(I$19:I$30,$T$19:$T$30),_xlpm.n,I$14,_xlpm.cum,SUMPRODUCT((ROW($C$19:$C$30)-18&lt;$U61)*I$19:I$30*$T$19:$T$30)+$V61*_xlpm.w,IF(OR(_xlpm.n="",_xlpm.n=0,_xlpm.tot=0,_xlpm.w=0),0,ROUND(_xlpm.cum/_xlpm.tot*_xlpm.n,0)-ROUND((_xlpm.cum-_xlpm.w)/_xlpm.tot*_xlpm.n,0)))</f>
        <v>0</v>
      </c>
      <c r="J61" s="691" cm="1">
        <f t="array" aca="1" ref="J61" ca="1">_xlfn.LET(_xlpm.w,INDEX(J$19:J$30,$U61),_xlpm.tot,SUMPRODUCT(J$19:J$30,$T$19:$T$30),_xlpm.n,J$14,_xlpm.cum,SUMPRODUCT((ROW($C$19:$C$30)-18&lt;$U61)*J$19:J$30*$T$19:$T$30)+$V61*_xlpm.w,IF(OR(_xlpm.n="",_xlpm.n=0,_xlpm.tot=0,_xlpm.w=0),0,ROUND(_xlpm.cum/_xlpm.tot*_xlpm.n,0)-ROUND((_xlpm.cum-_xlpm.w)/_xlpm.tot*_xlpm.n,0)))</f>
        <v>0</v>
      </c>
      <c r="K61" s="691" cm="1">
        <f t="array" aca="1" ref="K61" ca="1">_xlfn.LET(_xlpm.w,INDEX(K$19:K$30,$U61),_xlpm.tot,SUMPRODUCT(K$19:K$30,$T$19:$T$30),_xlpm.n,K$14,_xlpm.cum,SUMPRODUCT((ROW($C$19:$C$30)-18&lt;$U61)*K$19:K$30*$T$19:$T$30)+$V61*_xlpm.w,IF(OR(_xlpm.n="",_xlpm.n=0,_xlpm.tot=0,_xlpm.w=0),0,ROUND(_xlpm.cum/_xlpm.tot*_xlpm.n,0)-ROUND((_xlpm.cum-_xlpm.w)/_xlpm.tot*_xlpm.n,0)))</f>
        <v>0</v>
      </c>
      <c r="L61" s="691" cm="1">
        <f t="array" aca="1" ref="L61" ca="1">_xlfn.LET(_xlpm.w,INDEX(L$19:L$30,$U61),_xlpm.tot,SUMPRODUCT(L$19:L$30,$T$19:$T$30),_xlpm.n,L$14,_xlpm.cum,SUMPRODUCT((ROW($C$19:$C$30)-18&lt;$U61)*L$19:L$30*$T$19:$T$30)+$V61*_xlpm.w,IF(OR(_xlpm.n="",_xlpm.n=0,_xlpm.tot=0,_xlpm.w=0),0,ROUND(_xlpm.cum/_xlpm.tot*_xlpm.n,0)-ROUND((_xlpm.cum-_xlpm.w)/_xlpm.tot*_xlpm.n,0)))</f>
        <v>0</v>
      </c>
      <c r="M61" s="691" cm="1">
        <f t="array" aca="1" ref="M61" ca="1">_xlfn.LET(_xlpm.w,INDEX(M$19:M$30,$U61),_xlpm.tot,SUMPRODUCT(M$19:M$30,$T$19:$T$30),_xlpm.n,M$14,_xlpm.cum,SUMPRODUCT((ROW($C$19:$C$30)-18&lt;$U61)*M$19:M$30*$T$19:$T$30)+$V61*_xlpm.w,IF(OR(_xlpm.n="",_xlpm.n=0,_xlpm.tot=0,_xlpm.w=0),0,ROUND(_xlpm.cum/_xlpm.tot*_xlpm.n,0)-ROUND((_xlpm.cum-_xlpm.w)/_xlpm.tot*_xlpm.n,0)))</f>
        <v>0</v>
      </c>
      <c r="N61" s="691" cm="1">
        <f t="array" aca="1" ref="N61" ca="1">_xlfn.LET(_xlpm.w,INDEX(N$19:N$30,$U61),_xlpm.tot,SUMPRODUCT(N$19:N$30,$T$19:$T$30),_xlpm.n,N$14,_xlpm.cum,SUMPRODUCT((ROW($C$19:$C$30)-18&lt;$U61)*N$19:N$30*$T$19:$T$30)+$V61*_xlpm.w,IF(OR(_xlpm.n="",_xlpm.n=0,_xlpm.tot=0,_xlpm.w=0),0,ROUND(_xlpm.cum/_xlpm.tot*_xlpm.n,0)-ROUND((_xlpm.cum-_xlpm.w)/_xlpm.tot*_xlpm.n,0)))</f>
        <v>0</v>
      </c>
      <c r="O61" s="691" cm="1">
        <f t="array" aca="1" ref="O61" ca="1">_xlfn.LET(_xlpm.w,INDEX(O$19:O$30,$U61),_xlpm.tot,SUMPRODUCT(O$19:O$30,$T$19:$T$30),_xlpm.n,O$14,_xlpm.cum,SUMPRODUCT((ROW($C$19:$C$30)-18&lt;$U61)*O$19:O$30*$T$19:$T$30)+$V61*_xlpm.w,IF(OR(_xlpm.n="",_xlpm.n=0,_xlpm.tot=0,_xlpm.w=0),0,ROUND(_xlpm.cum/_xlpm.tot*_xlpm.n,0)-ROUND((_xlpm.cum-_xlpm.w)/_xlpm.tot*_xlpm.n,0)))</f>
        <v>0</v>
      </c>
      <c r="P61" s="691" cm="1">
        <f t="array" aca="1" ref="P61" ca="1">_xlfn.LET(_xlpm.w,INDEX(P$19:P$30,$U61),_xlpm.tot,SUMPRODUCT(P$19:P$30,$T$19:$T$30),_xlpm.n,P$14,_xlpm.cum,SUMPRODUCT((ROW($C$19:$C$30)-18&lt;$U61)*P$19:P$30*$T$19:$T$30)+$V61*_xlpm.w,IF(OR(_xlpm.n="",_xlpm.n=0,_xlpm.tot=0,_xlpm.w=0),0,ROUND(_xlpm.cum/_xlpm.tot*_xlpm.n,0)-ROUND((_xlpm.cum-_xlpm.w)/_xlpm.tot*_xlpm.n,0)))</f>
        <v>0</v>
      </c>
      <c r="Q61" s="691" cm="1">
        <f t="array" aca="1" ref="Q61" ca="1">_xlfn.LET(_xlpm.w,INDEX(Q$19:Q$30,$U61),_xlpm.tot,SUMPRODUCT(Q$19:Q$30,$T$19:$T$30),_xlpm.n,Q$14,_xlpm.cum,SUMPRODUCT((ROW($C$19:$C$30)-18&lt;$U61)*Q$19:Q$30*$T$19:$T$30)+$V61*_xlpm.w,IF(OR(_xlpm.n="",_xlpm.n=0,_xlpm.tot=0,_xlpm.w=0),0,ROUND(_xlpm.cum/_xlpm.tot*_xlpm.n,0)-ROUND((_xlpm.cum-_xlpm.w)/_xlpm.tot*_xlpm.n,0)))</f>
        <v>0</v>
      </c>
      <c r="R61" s="691" cm="1">
        <f t="array" aca="1" ref="R61" ca="1">_xlfn.LET(_xlpm.w,INDEX(R$19:R$30,$U61),_xlpm.tot,SUMPRODUCT(R$19:R$30,$T$19:$T$30),_xlpm.n,R$14,_xlpm.cum,SUMPRODUCT((ROW($C$19:$C$30)-18&lt;$U61)*R$19:R$30*$T$19:$T$30)+$V61*_xlpm.w,IF(OR(_xlpm.n="",_xlpm.n=0,_xlpm.tot=0,_xlpm.w=0),0,ROUND(_xlpm.cum/_xlpm.tot*_xlpm.n,0)-ROUND((_xlpm.cum-_xlpm.w)/_xlpm.tot*_xlpm.n,0)))</f>
        <v>0</v>
      </c>
      <c r="S61" s="692">
        <f t="shared" ca="1" si="16"/>
        <v>1</v>
      </c>
      <c r="T61" s="693">
        <f t="shared" ca="1" si="17"/>
        <v>46058</v>
      </c>
      <c r="U61" s="694">
        <f t="shared" ca="1" si="18"/>
        <v>2</v>
      </c>
      <c r="V61" s="694">
        <f ca="1">COUNTIFS($U$56:$U61,$U61)</f>
        <v>2</v>
      </c>
      <c r="W61" s="695">
        <f t="shared" ca="1" si="19"/>
        <v>4.8</v>
      </c>
      <c r="X61" s="696" cm="1">
        <f t="array" aca="1" ref="X61" ca="1">INDEX($U$19:$U$30,$U61)</f>
        <v>20</v>
      </c>
      <c r="Y61" s="697">
        <f t="shared" ca="1" si="20"/>
        <v>0.24</v>
      </c>
      <c r="Z61" s="698" t="str">
        <f t="shared" ca="1" si="21"/>
        <v>OK</v>
      </c>
    </row>
    <row r="62" spans="1:26" ht="13.95" customHeight="1">
      <c r="A62" s="689">
        <f t="shared" si="22"/>
        <v>7</v>
      </c>
      <c r="B62" s="690" t="str" cm="1">
        <f t="array" aca="1" ref="B62" ca="1">INDEX($B$19:$B$30,$U62)</f>
        <v>FÉVRIER</v>
      </c>
      <c r="C62" s="691" cm="1">
        <f t="array" aca="1" ref="C62" ca="1">_xlfn.LET(_xlpm.w,INDEX(C$19:C$30,$U62),_xlpm.tot,SUMPRODUCT(C$19:C$30,$T$19:$T$30),_xlpm.n,C$14,_xlpm.cum,SUMPRODUCT((ROW($C$19:$C$30)-18&lt;$U62)*C$19:C$30*$T$19:$T$30)+$V62*_xlpm.w,IF(OR(_xlpm.n="",_xlpm.n=0,_xlpm.tot=0,_xlpm.w=0),0,ROUND(_xlpm.cum/_xlpm.tot*_xlpm.n,0)-ROUND((_xlpm.cum-_xlpm.w)/_xlpm.tot*_xlpm.n,0)))</f>
        <v>0</v>
      </c>
      <c r="D62" s="691" cm="1">
        <f t="array" aca="1" ref="D62" ca="1">_xlfn.LET(_xlpm.w,INDEX(D$19:D$30,$U62),_xlpm.tot,SUMPRODUCT(D$19:D$30,$T$19:$T$30),_xlpm.n,D$14,_xlpm.cum,SUMPRODUCT((ROW($C$19:$C$30)-18&lt;$U62)*D$19:D$30*$T$19:$T$30)+$V62*_xlpm.w,IF(OR(_xlpm.n="",_xlpm.n=0,_xlpm.tot=0,_xlpm.w=0),0,ROUND(_xlpm.cum/_xlpm.tot*_xlpm.n,0)-ROUND((_xlpm.cum-_xlpm.w)/_xlpm.tot*_xlpm.n,0)))</f>
        <v>0</v>
      </c>
      <c r="E62" s="691" cm="1">
        <f t="array" aca="1" ref="E62" ca="1">_xlfn.LET(_xlpm.w,INDEX(E$19:E$30,$U62),_xlpm.tot,SUMPRODUCT(E$19:E$30,$T$19:$T$30),_xlpm.n,E$14,_xlpm.cum,SUMPRODUCT((ROW($C$19:$C$30)-18&lt;$U62)*E$19:E$30*$T$19:$T$30)+$V62*_xlpm.w,IF(OR(_xlpm.n="",_xlpm.n=0,_xlpm.tot=0,_xlpm.w=0),0,ROUND(_xlpm.cum/_xlpm.tot*_xlpm.n,0)-ROUND((_xlpm.cum-_xlpm.w)/_xlpm.tot*_xlpm.n,0)))</f>
        <v>0</v>
      </c>
      <c r="F62" s="691" cm="1">
        <f t="array" aca="1" ref="F62" ca="1">_xlfn.LET(_xlpm.w,INDEX(F$19:F$30,$U62),_xlpm.tot,SUMPRODUCT(F$19:F$30,$T$19:$T$30),_xlpm.n,F$14,_xlpm.cum,SUMPRODUCT((ROW($C$19:$C$30)-18&lt;$U62)*F$19:F$30*$T$19:$T$30)+$V62*_xlpm.w,IF(OR(_xlpm.n="",_xlpm.n=0,_xlpm.tot=0,_xlpm.w=0),0,ROUND(_xlpm.cum/_xlpm.tot*_xlpm.n,0)-ROUND((_xlpm.cum-_xlpm.w)/_xlpm.tot*_xlpm.n,0)))</f>
        <v>0</v>
      </c>
      <c r="G62" s="691" cm="1">
        <f t="array" aca="1" ref="G62" ca="1">_xlfn.LET(_xlpm.w,INDEX(G$19:G$30,$U62),_xlpm.tot,SUMPRODUCT(G$19:G$30,$T$19:$T$30),_xlpm.n,G$14,_xlpm.cum,SUMPRODUCT((ROW($C$19:$C$30)-18&lt;$U62)*G$19:G$30*$T$19:$T$30)+$V62*_xlpm.w,IF(OR(_xlpm.n="",_xlpm.n=0,_xlpm.tot=0,_xlpm.w=0),0,ROUND(_xlpm.cum/_xlpm.tot*_xlpm.n,0)-ROUND((_xlpm.cum-_xlpm.w)/_xlpm.tot*_xlpm.n,0)))</f>
        <v>0</v>
      </c>
      <c r="H62" s="691" cm="1">
        <f t="array" aca="1" ref="H62" ca="1">_xlfn.LET(_xlpm.w,INDEX(H$19:H$30,$U62),_xlpm.tot,SUMPRODUCT(H$19:H$30,$T$19:$T$30),_xlpm.n,H$14,_xlpm.cum,SUMPRODUCT((ROW($C$19:$C$30)-18&lt;$U62)*H$19:H$30*$T$19:$T$30)+$V62*_xlpm.w,IF(OR(_xlpm.n="",_xlpm.n=0,_xlpm.tot=0,_xlpm.w=0),0,ROUND(_xlpm.cum/_xlpm.tot*_xlpm.n,0)-ROUND((_xlpm.cum-_xlpm.w)/_xlpm.tot*_xlpm.n,0)))</f>
        <v>0</v>
      </c>
      <c r="I62" s="691" cm="1">
        <f t="array" aca="1" ref="I62" ca="1">_xlfn.LET(_xlpm.w,INDEX(I$19:I$30,$U62),_xlpm.tot,SUMPRODUCT(I$19:I$30,$T$19:$T$30),_xlpm.n,I$14,_xlpm.cum,SUMPRODUCT((ROW($C$19:$C$30)-18&lt;$U62)*I$19:I$30*$T$19:$T$30)+$V62*_xlpm.w,IF(OR(_xlpm.n="",_xlpm.n=0,_xlpm.tot=0,_xlpm.w=0),0,ROUND(_xlpm.cum/_xlpm.tot*_xlpm.n,0)-ROUND((_xlpm.cum-_xlpm.w)/_xlpm.tot*_xlpm.n,0)))</f>
        <v>0</v>
      </c>
      <c r="J62" s="691" cm="1">
        <f t="array" aca="1" ref="J62" ca="1">_xlfn.LET(_xlpm.w,INDEX(J$19:J$30,$U62),_xlpm.tot,SUMPRODUCT(J$19:J$30,$T$19:$T$30),_xlpm.n,J$14,_xlpm.cum,SUMPRODUCT((ROW($C$19:$C$30)-18&lt;$U62)*J$19:J$30*$T$19:$T$30)+$V62*_xlpm.w,IF(OR(_xlpm.n="",_xlpm.n=0,_xlpm.tot=0,_xlpm.w=0),0,ROUND(_xlpm.cum/_xlpm.tot*_xlpm.n,0)-ROUND((_xlpm.cum-_xlpm.w)/_xlpm.tot*_xlpm.n,0)))</f>
        <v>0</v>
      </c>
      <c r="K62" s="691" cm="1">
        <f t="array" aca="1" ref="K62" ca="1">_xlfn.LET(_xlpm.w,INDEX(K$19:K$30,$U62),_xlpm.tot,SUMPRODUCT(K$19:K$30,$T$19:$T$30),_xlpm.n,K$14,_xlpm.cum,SUMPRODUCT((ROW($C$19:$C$30)-18&lt;$U62)*K$19:K$30*$T$19:$T$30)+$V62*_xlpm.w,IF(OR(_xlpm.n="",_xlpm.n=0,_xlpm.tot=0,_xlpm.w=0),0,ROUND(_xlpm.cum/_xlpm.tot*_xlpm.n,0)-ROUND((_xlpm.cum-_xlpm.w)/_xlpm.tot*_xlpm.n,0)))</f>
        <v>0</v>
      </c>
      <c r="L62" s="691" cm="1">
        <f t="array" aca="1" ref="L62" ca="1">_xlfn.LET(_xlpm.w,INDEX(L$19:L$30,$U62),_xlpm.tot,SUMPRODUCT(L$19:L$30,$T$19:$T$30),_xlpm.n,L$14,_xlpm.cum,SUMPRODUCT((ROW($C$19:$C$30)-18&lt;$U62)*L$19:L$30*$T$19:$T$30)+$V62*_xlpm.w,IF(OR(_xlpm.n="",_xlpm.n=0,_xlpm.tot=0,_xlpm.w=0),0,ROUND(_xlpm.cum/_xlpm.tot*_xlpm.n,0)-ROUND((_xlpm.cum-_xlpm.w)/_xlpm.tot*_xlpm.n,0)))</f>
        <v>0</v>
      </c>
      <c r="M62" s="691" cm="1">
        <f t="array" aca="1" ref="M62" ca="1">_xlfn.LET(_xlpm.w,INDEX(M$19:M$30,$U62),_xlpm.tot,SUMPRODUCT(M$19:M$30,$T$19:$T$30),_xlpm.n,M$14,_xlpm.cum,SUMPRODUCT((ROW($C$19:$C$30)-18&lt;$U62)*M$19:M$30*$T$19:$T$30)+$V62*_xlpm.w,IF(OR(_xlpm.n="",_xlpm.n=0,_xlpm.tot=0,_xlpm.w=0),0,ROUND(_xlpm.cum/_xlpm.tot*_xlpm.n,0)-ROUND((_xlpm.cum-_xlpm.w)/_xlpm.tot*_xlpm.n,0)))</f>
        <v>0</v>
      </c>
      <c r="N62" s="691" cm="1">
        <f t="array" aca="1" ref="N62" ca="1">_xlfn.LET(_xlpm.w,INDEX(N$19:N$30,$U62),_xlpm.tot,SUMPRODUCT(N$19:N$30,$T$19:$T$30),_xlpm.n,N$14,_xlpm.cum,SUMPRODUCT((ROW($C$19:$C$30)-18&lt;$U62)*N$19:N$30*$T$19:$T$30)+$V62*_xlpm.w,IF(OR(_xlpm.n="",_xlpm.n=0,_xlpm.tot=0,_xlpm.w=0),0,ROUND(_xlpm.cum/_xlpm.tot*_xlpm.n,0)-ROUND((_xlpm.cum-_xlpm.w)/_xlpm.tot*_xlpm.n,0)))</f>
        <v>0</v>
      </c>
      <c r="O62" s="691" cm="1">
        <f t="array" aca="1" ref="O62" ca="1">_xlfn.LET(_xlpm.w,INDEX(O$19:O$30,$U62),_xlpm.tot,SUMPRODUCT(O$19:O$30,$T$19:$T$30),_xlpm.n,O$14,_xlpm.cum,SUMPRODUCT((ROW($C$19:$C$30)-18&lt;$U62)*O$19:O$30*$T$19:$T$30)+$V62*_xlpm.w,IF(OR(_xlpm.n="",_xlpm.n=0,_xlpm.tot=0,_xlpm.w=0),0,ROUND(_xlpm.cum/_xlpm.tot*_xlpm.n,0)-ROUND((_xlpm.cum-_xlpm.w)/_xlpm.tot*_xlpm.n,0)))</f>
        <v>0</v>
      </c>
      <c r="P62" s="691" cm="1">
        <f t="array" aca="1" ref="P62" ca="1">_xlfn.LET(_xlpm.w,INDEX(P$19:P$30,$U62),_xlpm.tot,SUMPRODUCT(P$19:P$30,$T$19:$T$30),_xlpm.n,P$14,_xlpm.cum,SUMPRODUCT((ROW($C$19:$C$30)-18&lt;$U62)*P$19:P$30*$T$19:$T$30)+$V62*_xlpm.w,IF(OR(_xlpm.n="",_xlpm.n=0,_xlpm.tot=0,_xlpm.w=0),0,ROUND(_xlpm.cum/_xlpm.tot*_xlpm.n,0)-ROUND((_xlpm.cum-_xlpm.w)/_xlpm.tot*_xlpm.n,0)))</f>
        <v>0</v>
      </c>
      <c r="Q62" s="691" cm="1">
        <f t="array" aca="1" ref="Q62" ca="1">_xlfn.LET(_xlpm.w,INDEX(Q$19:Q$30,$U62),_xlpm.tot,SUMPRODUCT(Q$19:Q$30,$T$19:$T$30),_xlpm.n,Q$14,_xlpm.cum,SUMPRODUCT((ROW($C$19:$C$30)-18&lt;$U62)*Q$19:Q$30*$T$19:$T$30)+$V62*_xlpm.w,IF(OR(_xlpm.n="",_xlpm.n=0,_xlpm.tot=0,_xlpm.w=0),0,ROUND(_xlpm.cum/_xlpm.tot*_xlpm.n,0)-ROUND((_xlpm.cum-_xlpm.w)/_xlpm.tot*_xlpm.n,0)))</f>
        <v>0</v>
      </c>
      <c r="R62" s="691" cm="1">
        <f t="array" aca="1" ref="R62" ca="1">_xlfn.LET(_xlpm.w,INDEX(R$19:R$30,$U62),_xlpm.tot,SUMPRODUCT(R$19:R$30,$T$19:$T$30),_xlpm.n,R$14,_xlpm.cum,SUMPRODUCT((ROW($C$19:$C$30)-18&lt;$U62)*R$19:R$30*$T$19:$T$30)+$V62*_xlpm.w,IF(OR(_xlpm.n="",_xlpm.n=0,_xlpm.tot=0,_xlpm.w=0),0,ROUND(_xlpm.cum/_xlpm.tot*_xlpm.n,0)-ROUND((_xlpm.cum-_xlpm.w)/_xlpm.tot*_xlpm.n,0)))</f>
        <v>0</v>
      </c>
      <c r="S62" s="692">
        <f t="shared" ca="1" si="16"/>
        <v>0</v>
      </c>
      <c r="T62" s="693">
        <f t="shared" ca="1" si="17"/>
        <v>46065</v>
      </c>
      <c r="U62" s="694">
        <f t="shared" ca="1" si="18"/>
        <v>2</v>
      </c>
      <c r="V62" s="694">
        <f ca="1">COUNTIFS($U$56:$U62,$U62)</f>
        <v>3</v>
      </c>
      <c r="W62" s="695">
        <f t="shared" ca="1" si="19"/>
        <v>0</v>
      </c>
      <c r="X62" s="696" cm="1">
        <f t="array" aca="1" ref="X62" ca="1">INDEX($U$19:$U$30,$U62)</f>
        <v>20</v>
      </c>
      <c r="Y62" s="697">
        <f t="shared" ca="1" si="20"/>
        <v>0</v>
      </c>
      <c r="Z62" s="698" t="str">
        <f t="shared" ca="1" si="21"/>
        <v>OK</v>
      </c>
    </row>
    <row r="63" spans="1:26" ht="13.95" customHeight="1">
      <c r="A63" s="689">
        <f t="shared" si="22"/>
        <v>8</v>
      </c>
      <c r="B63" s="690" t="str" cm="1">
        <f t="array" aca="1" ref="B63" ca="1">INDEX($B$19:$B$30,$U63)</f>
        <v>FÉVRIER</v>
      </c>
      <c r="C63" s="691" cm="1">
        <f t="array" aca="1" ref="C63" ca="1">_xlfn.LET(_xlpm.w,INDEX(C$19:C$30,$U63),_xlpm.tot,SUMPRODUCT(C$19:C$30,$T$19:$T$30),_xlpm.n,C$14,_xlpm.cum,SUMPRODUCT((ROW($C$19:$C$30)-18&lt;$U63)*C$19:C$30*$T$19:$T$30)+$V63*_xlpm.w,IF(OR(_xlpm.n="",_xlpm.n=0,_xlpm.tot=0,_xlpm.w=0),0,ROUND(_xlpm.cum/_xlpm.tot*_xlpm.n,0)-ROUND((_xlpm.cum-_xlpm.w)/_xlpm.tot*_xlpm.n,0)))</f>
        <v>0</v>
      </c>
      <c r="D63" s="691" cm="1">
        <f t="array" aca="1" ref="D63" ca="1">_xlfn.LET(_xlpm.w,INDEX(D$19:D$30,$U63),_xlpm.tot,SUMPRODUCT(D$19:D$30,$T$19:$T$30),_xlpm.n,D$14,_xlpm.cum,SUMPRODUCT((ROW($C$19:$C$30)-18&lt;$U63)*D$19:D$30*$T$19:$T$30)+$V63*_xlpm.w,IF(OR(_xlpm.n="",_xlpm.n=0,_xlpm.tot=0,_xlpm.w=0),0,ROUND(_xlpm.cum/_xlpm.tot*_xlpm.n,0)-ROUND((_xlpm.cum-_xlpm.w)/_xlpm.tot*_xlpm.n,0)))</f>
        <v>0</v>
      </c>
      <c r="E63" s="691" cm="1">
        <f t="array" aca="1" ref="E63" ca="1">_xlfn.LET(_xlpm.w,INDEX(E$19:E$30,$U63),_xlpm.tot,SUMPRODUCT(E$19:E$30,$T$19:$T$30),_xlpm.n,E$14,_xlpm.cum,SUMPRODUCT((ROW($C$19:$C$30)-18&lt;$U63)*E$19:E$30*$T$19:$T$30)+$V63*_xlpm.w,IF(OR(_xlpm.n="",_xlpm.n=0,_xlpm.tot=0,_xlpm.w=0),0,ROUND(_xlpm.cum/_xlpm.tot*_xlpm.n,0)-ROUND((_xlpm.cum-_xlpm.w)/_xlpm.tot*_xlpm.n,0)))</f>
        <v>0</v>
      </c>
      <c r="F63" s="691" cm="1">
        <f t="array" aca="1" ref="F63" ca="1">_xlfn.LET(_xlpm.w,INDEX(F$19:F$30,$U63),_xlpm.tot,SUMPRODUCT(F$19:F$30,$T$19:$T$30),_xlpm.n,F$14,_xlpm.cum,SUMPRODUCT((ROW($C$19:$C$30)-18&lt;$U63)*F$19:F$30*$T$19:$T$30)+$V63*_xlpm.w,IF(OR(_xlpm.n="",_xlpm.n=0,_xlpm.tot=0,_xlpm.w=0),0,ROUND(_xlpm.cum/_xlpm.tot*_xlpm.n,0)-ROUND((_xlpm.cum-_xlpm.w)/_xlpm.tot*_xlpm.n,0)))</f>
        <v>1</v>
      </c>
      <c r="G63" s="691" cm="1">
        <f t="array" aca="1" ref="G63" ca="1">_xlfn.LET(_xlpm.w,INDEX(G$19:G$30,$U63),_xlpm.tot,SUMPRODUCT(G$19:G$30,$T$19:$T$30),_xlpm.n,G$14,_xlpm.cum,SUMPRODUCT((ROW($C$19:$C$30)-18&lt;$U63)*G$19:G$30*$T$19:$T$30)+$V63*_xlpm.w,IF(OR(_xlpm.n="",_xlpm.n=0,_xlpm.tot=0,_xlpm.w=0),0,ROUND(_xlpm.cum/_xlpm.tot*_xlpm.n,0)-ROUND((_xlpm.cum-_xlpm.w)/_xlpm.tot*_xlpm.n,0)))</f>
        <v>0</v>
      </c>
      <c r="H63" s="691" cm="1">
        <f t="array" aca="1" ref="H63" ca="1">_xlfn.LET(_xlpm.w,INDEX(H$19:H$30,$U63),_xlpm.tot,SUMPRODUCT(H$19:H$30,$T$19:$T$30),_xlpm.n,H$14,_xlpm.cum,SUMPRODUCT((ROW($C$19:$C$30)-18&lt;$U63)*H$19:H$30*$T$19:$T$30)+$V63*_xlpm.w,IF(OR(_xlpm.n="",_xlpm.n=0,_xlpm.tot=0,_xlpm.w=0),0,ROUND(_xlpm.cum/_xlpm.tot*_xlpm.n,0)-ROUND((_xlpm.cum-_xlpm.w)/_xlpm.tot*_xlpm.n,0)))</f>
        <v>0</v>
      </c>
      <c r="I63" s="691" cm="1">
        <f t="array" aca="1" ref="I63" ca="1">_xlfn.LET(_xlpm.w,INDEX(I$19:I$30,$U63),_xlpm.tot,SUMPRODUCT(I$19:I$30,$T$19:$T$30),_xlpm.n,I$14,_xlpm.cum,SUMPRODUCT((ROW($C$19:$C$30)-18&lt;$U63)*I$19:I$30*$T$19:$T$30)+$V63*_xlpm.w,IF(OR(_xlpm.n="",_xlpm.n=0,_xlpm.tot=0,_xlpm.w=0),0,ROUND(_xlpm.cum/_xlpm.tot*_xlpm.n,0)-ROUND((_xlpm.cum-_xlpm.w)/_xlpm.tot*_xlpm.n,0)))</f>
        <v>0</v>
      </c>
      <c r="J63" s="691" cm="1">
        <f t="array" aca="1" ref="J63" ca="1">_xlfn.LET(_xlpm.w,INDEX(J$19:J$30,$U63),_xlpm.tot,SUMPRODUCT(J$19:J$30,$T$19:$T$30),_xlpm.n,J$14,_xlpm.cum,SUMPRODUCT((ROW($C$19:$C$30)-18&lt;$U63)*J$19:J$30*$T$19:$T$30)+$V63*_xlpm.w,IF(OR(_xlpm.n="",_xlpm.n=0,_xlpm.tot=0,_xlpm.w=0),0,ROUND(_xlpm.cum/_xlpm.tot*_xlpm.n,0)-ROUND((_xlpm.cum-_xlpm.w)/_xlpm.tot*_xlpm.n,0)))</f>
        <v>0</v>
      </c>
      <c r="K63" s="691" cm="1">
        <f t="array" aca="1" ref="K63" ca="1">_xlfn.LET(_xlpm.w,INDEX(K$19:K$30,$U63),_xlpm.tot,SUMPRODUCT(K$19:K$30,$T$19:$T$30),_xlpm.n,K$14,_xlpm.cum,SUMPRODUCT((ROW($C$19:$C$30)-18&lt;$U63)*K$19:K$30*$T$19:$T$30)+$V63*_xlpm.w,IF(OR(_xlpm.n="",_xlpm.n=0,_xlpm.tot=0,_xlpm.w=0),0,ROUND(_xlpm.cum/_xlpm.tot*_xlpm.n,0)-ROUND((_xlpm.cum-_xlpm.w)/_xlpm.tot*_xlpm.n,0)))</f>
        <v>0</v>
      </c>
      <c r="L63" s="691" cm="1">
        <f t="array" aca="1" ref="L63" ca="1">_xlfn.LET(_xlpm.w,INDEX(L$19:L$30,$U63),_xlpm.tot,SUMPRODUCT(L$19:L$30,$T$19:$T$30),_xlpm.n,L$14,_xlpm.cum,SUMPRODUCT((ROW($C$19:$C$30)-18&lt;$U63)*L$19:L$30*$T$19:$T$30)+$V63*_xlpm.w,IF(OR(_xlpm.n="",_xlpm.n=0,_xlpm.tot=0,_xlpm.w=0),0,ROUND(_xlpm.cum/_xlpm.tot*_xlpm.n,0)-ROUND((_xlpm.cum-_xlpm.w)/_xlpm.tot*_xlpm.n,0)))</f>
        <v>0</v>
      </c>
      <c r="M63" s="691" cm="1">
        <f t="array" aca="1" ref="M63" ca="1">_xlfn.LET(_xlpm.w,INDEX(M$19:M$30,$U63),_xlpm.tot,SUMPRODUCT(M$19:M$30,$T$19:$T$30),_xlpm.n,M$14,_xlpm.cum,SUMPRODUCT((ROW($C$19:$C$30)-18&lt;$U63)*M$19:M$30*$T$19:$T$30)+$V63*_xlpm.w,IF(OR(_xlpm.n="",_xlpm.n=0,_xlpm.tot=0,_xlpm.w=0),0,ROUND(_xlpm.cum/_xlpm.tot*_xlpm.n,0)-ROUND((_xlpm.cum-_xlpm.w)/_xlpm.tot*_xlpm.n,0)))</f>
        <v>0</v>
      </c>
      <c r="N63" s="691" cm="1">
        <f t="array" aca="1" ref="N63" ca="1">_xlfn.LET(_xlpm.w,INDEX(N$19:N$30,$U63),_xlpm.tot,SUMPRODUCT(N$19:N$30,$T$19:$T$30),_xlpm.n,N$14,_xlpm.cum,SUMPRODUCT((ROW($C$19:$C$30)-18&lt;$U63)*N$19:N$30*$T$19:$T$30)+$V63*_xlpm.w,IF(OR(_xlpm.n="",_xlpm.n=0,_xlpm.tot=0,_xlpm.w=0),0,ROUND(_xlpm.cum/_xlpm.tot*_xlpm.n,0)-ROUND((_xlpm.cum-_xlpm.w)/_xlpm.tot*_xlpm.n,0)))</f>
        <v>0</v>
      </c>
      <c r="O63" s="691" cm="1">
        <f t="array" aca="1" ref="O63" ca="1">_xlfn.LET(_xlpm.w,INDEX(O$19:O$30,$U63),_xlpm.tot,SUMPRODUCT(O$19:O$30,$T$19:$T$30),_xlpm.n,O$14,_xlpm.cum,SUMPRODUCT((ROW($C$19:$C$30)-18&lt;$U63)*O$19:O$30*$T$19:$T$30)+$V63*_xlpm.w,IF(OR(_xlpm.n="",_xlpm.n=0,_xlpm.tot=0,_xlpm.w=0),0,ROUND(_xlpm.cum/_xlpm.tot*_xlpm.n,0)-ROUND((_xlpm.cum-_xlpm.w)/_xlpm.tot*_xlpm.n,0)))</f>
        <v>0</v>
      </c>
      <c r="P63" s="691" cm="1">
        <f t="array" aca="1" ref="P63" ca="1">_xlfn.LET(_xlpm.w,INDEX(P$19:P$30,$U63),_xlpm.tot,SUMPRODUCT(P$19:P$30,$T$19:$T$30),_xlpm.n,P$14,_xlpm.cum,SUMPRODUCT((ROW($C$19:$C$30)-18&lt;$U63)*P$19:P$30*$T$19:$T$30)+$V63*_xlpm.w,IF(OR(_xlpm.n="",_xlpm.n=0,_xlpm.tot=0,_xlpm.w=0),0,ROUND(_xlpm.cum/_xlpm.tot*_xlpm.n,0)-ROUND((_xlpm.cum-_xlpm.w)/_xlpm.tot*_xlpm.n,0)))</f>
        <v>0</v>
      </c>
      <c r="Q63" s="691" cm="1">
        <f t="array" aca="1" ref="Q63" ca="1">_xlfn.LET(_xlpm.w,INDEX(Q$19:Q$30,$U63),_xlpm.tot,SUMPRODUCT(Q$19:Q$30,$T$19:$T$30),_xlpm.n,Q$14,_xlpm.cum,SUMPRODUCT((ROW($C$19:$C$30)-18&lt;$U63)*Q$19:Q$30*$T$19:$T$30)+$V63*_xlpm.w,IF(OR(_xlpm.n="",_xlpm.n=0,_xlpm.tot=0,_xlpm.w=0),0,ROUND(_xlpm.cum/_xlpm.tot*_xlpm.n,0)-ROUND((_xlpm.cum-_xlpm.w)/_xlpm.tot*_xlpm.n,0)))</f>
        <v>0</v>
      </c>
      <c r="R63" s="691" cm="1">
        <f t="array" aca="1" ref="R63" ca="1">_xlfn.LET(_xlpm.w,INDEX(R$19:R$30,$U63),_xlpm.tot,SUMPRODUCT(R$19:R$30,$T$19:$T$30),_xlpm.n,R$14,_xlpm.cum,SUMPRODUCT((ROW($C$19:$C$30)-18&lt;$U63)*R$19:R$30*$T$19:$T$30)+$V63*_xlpm.w,IF(OR(_xlpm.n="",_xlpm.n=0,_xlpm.tot=0,_xlpm.w=0),0,ROUND(_xlpm.cum/_xlpm.tot*_xlpm.n,0)-ROUND((_xlpm.cum-_xlpm.w)/_xlpm.tot*_xlpm.n,0)))</f>
        <v>0</v>
      </c>
      <c r="S63" s="692">
        <f t="shared" ca="1" si="16"/>
        <v>1</v>
      </c>
      <c r="T63" s="693">
        <f t="shared" ca="1" si="17"/>
        <v>46072</v>
      </c>
      <c r="U63" s="694">
        <f t="shared" ca="1" si="18"/>
        <v>2</v>
      </c>
      <c r="V63" s="694">
        <f ca="1">COUNTIFS($U$56:$U63,$U63)</f>
        <v>4</v>
      </c>
      <c r="W63" s="695">
        <f t="shared" ca="1" si="19"/>
        <v>4.8</v>
      </c>
      <c r="X63" s="696" cm="1">
        <f t="array" aca="1" ref="X63" ca="1">INDEX($U$19:$U$30,$U63)</f>
        <v>20</v>
      </c>
      <c r="Y63" s="697">
        <f t="shared" ca="1" si="20"/>
        <v>0.24</v>
      </c>
      <c r="Z63" s="698" t="str">
        <f t="shared" ca="1" si="21"/>
        <v>OK</v>
      </c>
    </row>
    <row r="64" spans="1:26" ht="13.95" customHeight="1">
      <c r="A64" s="689">
        <f t="shared" si="22"/>
        <v>9</v>
      </c>
      <c r="B64" s="690" t="str" cm="1">
        <f t="array" aca="1" ref="B64" ca="1">INDEX($B$19:$B$30,$U64)</f>
        <v>MARS</v>
      </c>
      <c r="C64" s="691" cm="1">
        <f t="array" aca="1" ref="C64" ca="1">_xlfn.LET(_xlpm.w,INDEX(C$19:C$30,$U64),_xlpm.tot,SUMPRODUCT(C$19:C$30,$T$19:$T$30),_xlpm.n,C$14,_xlpm.cum,SUMPRODUCT((ROW($C$19:$C$30)-18&lt;$U64)*C$19:C$30*$T$19:$T$30)+$V64*_xlpm.w,IF(OR(_xlpm.n="",_xlpm.n=0,_xlpm.tot=0,_xlpm.w=0),0,ROUND(_xlpm.cum/_xlpm.tot*_xlpm.n,0)-ROUND((_xlpm.cum-_xlpm.w)/_xlpm.tot*_xlpm.n,0)))</f>
        <v>0</v>
      </c>
      <c r="D64" s="691" cm="1">
        <f t="array" aca="1" ref="D64" ca="1">_xlfn.LET(_xlpm.w,INDEX(D$19:D$30,$U64),_xlpm.tot,SUMPRODUCT(D$19:D$30,$T$19:$T$30),_xlpm.n,D$14,_xlpm.cum,SUMPRODUCT((ROW($C$19:$C$30)-18&lt;$U64)*D$19:D$30*$T$19:$T$30)+$V64*_xlpm.w,IF(OR(_xlpm.n="",_xlpm.n=0,_xlpm.tot=0,_xlpm.w=0),0,ROUND(_xlpm.cum/_xlpm.tot*_xlpm.n,0)-ROUND((_xlpm.cum-_xlpm.w)/_xlpm.tot*_xlpm.n,0)))</f>
        <v>0</v>
      </c>
      <c r="E64" s="691" cm="1">
        <f t="array" aca="1" ref="E64" ca="1">_xlfn.LET(_xlpm.w,INDEX(E$19:E$30,$U64),_xlpm.tot,SUMPRODUCT(E$19:E$30,$T$19:$T$30),_xlpm.n,E$14,_xlpm.cum,SUMPRODUCT((ROW($C$19:$C$30)-18&lt;$U64)*E$19:E$30*$T$19:$T$30)+$V64*_xlpm.w,IF(OR(_xlpm.n="",_xlpm.n=0,_xlpm.tot=0,_xlpm.w=0),0,ROUND(_xlpm.cum/_xlpm.tot*_xlpm.n,0)-ROUND((_xlpm.cum-_xlpm.w)/_xlpm.tot*_xlpm.n,0)))</f>
        <v>0</v>
      </c>
      <c r="F64" s="691" cm="1">
        <f t="array" aca="1" ref="F64" ca="1">_xlfn.LET(_xlpm.w,INDEX(F$19:F$30,$U64),_xlpm.tot,SUMPRODUCT(F$19:F$30,$T$19:$T$30),_xlpm.n,F$14,_xlpm.cum,SUMPRODUCT((ROW($C$19:$C$30)-18&lt;$U64)*F$19:F$30*$T$19:$T$30)+$V64*_xlpm.w,IF(OR(_xlpm.n="",_xlpm.n=0,_xlpm.tot=0,_xlpm.w=0),0,ROUND(_xlpm.cum/_xlpm.tot*_xlpm.n,0)-ROUND((_xlpm.cum-_xlpm.w)/_xlpm.tot*_xlpm.n,0)))</f>
        <v>1</v>
      </c>
      <c r="G64" s="691" cm="1">
        <f t="array" aca="1" ref="G64" ca="1">_xlfn.LET(_xlpm.w,INDEX(G$19:G$30,$U64),_xlpm.tot,SUMPRODUCT(G$19:G$30,$T$19:$T$30),_xlpm.n,G$14,_xlpm.cum,SUMPRODUCT((ROW($C$19:$C$30)-18&lt;$U64)*G$19:G$30*$T$19:$T$30)+$V64*_xlpm.w,IF(OR(_xlpm.n="",_xlpm.n=0,_xlpm.tot=0,_xlpm.w=0),0,ROUND(_xlpm.cum/_xlpm.tot*_xlpm.n,0)-ROUND((_xlpm.cum-_xlpm.w)/_xlpm.tot*_xlpm.n,0)))</f>
        <v>0</v>
      </c>
      <c r="H64" s="691" cm="1">
        <f t="array" aca="1" ref="H64" ca="1">_xlfn.LET(_xlpm.w,INDEX(H$19:H$30,$U64),_xlpm.tot,SUMPRODUCT(H$19:H$30,$T$19:$T$30),_xlpm.n,H$14,_xlpm.cum,SUMPRODUCT((ROW($C$19:$C$30)-18&lt;$U64)*H$19:H$30*$T$19:$T$30)+$V64*_xlpm.w,IF(OR(_xlpm.n="",_xlpm.n=0,_xlpm.tot=0,_xlpm.w=0),0,ROUND(_xlpm.cum/_xlpm.tot*_xlpm.n,0)-ROUND((_xlpm.cum-_xlpm.w)/_xlpm.tot*_xlpm.n,0)))</f>
        <v>0</v>
      </c>
      <c r="I64" s="691" cm="1">
        <f t="array" aca="1" ref="I64" ca="1">_xlfn.LET(_xlpm.w,INDEX(I$19:I$30,$U64),_xlpm.tot,SUMPRODUCT(I$19:I$30,$T$19:$T$30),_xlpm.n,I$14,_xlpm.cum,SUMPRODUCT((ROW($C$19:$C$30)-18&lt;$U64)*I$19:I$30*$T$19:$T$30)+$V64*_xlpm.w,IF(OR(_xlpm.n="",_xlpm.n=0,_xlpm.tot=0,_xlpm.w=0),0,ROUND(_xlpm.cum/_xlpm.tot*_xlpm.n,0)-ROUND((_xlpm.cum-_xlpm.w)/_xlpm.tot*_xlpm.n,0)))</f>
        <v>0</v>
      </c>
      <c r="J64" s="691" cm="1">
        <f t="array" aca="1" ref="J64" ca="1">_xlfn.LET(_xlpm.w,INDEX(J$19:J$30,$U64),_xlpm.tot,SUMPRODUCT(J$19:J$30,$T$19:$T$30),_xlpm.n,J$14,_xlpm.cum,SUMPRODUCT((ROW($C$19:$C$30)-18&lt;$U64)*J$19:J$30*$T$19:$T$30)+$V64*_xlpm.w,IF(OR(_xlpm.n="",_xlpm.n=0,_xlpm.tot=0,_xlpm.w=0),0,ROUND(_xlpm.cum/_xlpm.tot*_xlpm.n,0)-ROUND((_xlpm.cum-_xlpm.w)/_xlpm.tot*_xlpm.n,0)))</f>
        <v>0</v>
      </c>
      <c r="K64" s="691" cm="1">
        <f t="array" aca="1" ref="K64" ca="1">_xlfn.LET(_xlpm.w,INDEX(K$19:K$30,$U64),_xlpm.tot,SUMPRODUCT(K$19:K$30,$T$19:$T$30),_xlpm.n,K$14,_xlpm.cum,SUMPRODUCT((ROW($C$19:$C$30)-18&lt;$U64)*K$19:K$30*$T$19:$T$30)+$V64*_xlpm.w,IF(OR(_xlpm.n="",_xlpm.n=0,_xlpm.tot=0,_xlpm.w=0),0,ROUND(_xlpm.cum/_xlpm.tot*_xlpm.n,0)-ROUND((_xlpm.cum-_xlpm.w)/_xlpm.tot*_xlpm.n,0)))</f>
        <v>0</v>
      </c>
      <c r="L64" s="691" cm="1">
        <f t="array" aca="1" ref="L64" ca="1">_xlfn.LET(_xlpm.w,INDEX(L$19:L$30,$U64),_xlpm.tot,SUMPRODUCT(L$19:L$30,$T$19:$T$30),_xlpm.n,L$14,_xlpm.cum,SUMPRODUCT((ROW($C$19:$C$30)-18&lt;$U64)*L$19:L$30*$T$19:$T$30)+$V64*_xlpm.w,IF(OR(_xlpm.n="",_xlpm.n=0,_xlpm.tot=0,_xlpm.w=0),0,ROUND(_xlpm.cum/_xlpm.tot*_xlpm.n,0)-ROUND((_xlpm.cum-_xlpm.w)/_xlpm.tot*_xlpm.n,0)))</f>
        <v>0</v>
      </c>
      <c r="M64" s="691" cm="1">
        <f t="array" aca="1" ref="M64" ca="1">_xlfn.LET(_xlpm.w,INDEX(M$19:M$30,$U64),_xlpm.tot,SUMPRODUCT(M$19:M$30,$T$19:$T$30),_xlpm.n,M$14,_xlpm.cum,SUMPRODUCT((ROW($C$19:$C$30)-18&lt;$U64)*M$19:M$30*$T$19:$T$30)+$V64*_xlpm.w,IF(OR(_xlpm.n="",_xlpm.n=0,_xlpm.tot=0,_xlpm.w=0),0,ROUND(_xlpm.cum/_xlpm.tot*_xlpm.n,0)-ROUND((_xlpm.cum-_xlpm.w)/_xlpm.tot*_xlpm.n,0)))</f>
        <v>0</v>
      </c>
      <c r="N64" s="691" cm="1">
        <f t="array" aca="1" ref="N64" ca="1">_xlfn.LET(_xlpm.w,INDEX(N$19:N$30,$U64),_xlpm.tot,SUMPRODUCT(N$19:N$30,$T$19:$T$30),_xlpm.n,N$14,_xlpm.cum,SUMPRODUCT((ROW($C$19:$C$30)-18&lt;$U64)*N$19:N$30*$T$19:$T$30)+$V64*_xlpm.w,IF(OR(_xlpm.n="",_xlpm.n=0,_xlpm.tot=0,_xlpm.w=0),0,ROUND(_xlpm.cum/_xlpm.tot*_xlpm.n,0)-ROUND((_xlpm.cum-_xlpm.w)/_xlpm.tot*_xlpm.n,0)))</f>
        <v>0</v>
      </c>
      <c r="O64" s="691" cm="1">
        <f t="array" aca="1" ref="O64" ca="1">_xlfn.LET(_xlpm.w,INDEX(O$19:O$30,$U64),_xlpm.tot,SUMPRODUCT(O$19:O$30,$T$19:$T$30),_xlpm.n,O$14,_xlpm.cum,SUMPRODUCT((ROW($C$19:$C$30)-18&lt;$U64)*O$19:O$30*$T$19:$T$30)+$V64*_xlpm.w,IF(OR(_xlpm.n="",_xlpm.n=0,_xlpm.tot=0,_xlpm.w=0),0,ROUND(_xlpm.cum/_xlpm.tot*_xlpm.n,0)-ROUND((_xlpm.cum-_xlpm.w)/_xlpm.tot*_xlpm.n,0)))</f>
        <v>0</v>
      </c>
      <c r="P64" s="691" cm="1">
        <f t="array" aca="1" ref="P64" ca="1">_xlfn.LET(_xlpm.w,INDEX(P$19:P$30,$U64),_xlpm.tot,SUMPRODUCT(P$19:P$30,$T$19:$T$30),_xlpm.n,P$14,_xlpm.cum,SUMPRODUCT((ROW($C$19:$C$30)-18&lt;$U64)*P$19:P$30*$T$19:$T$30)+$V64*_xlpm.w,IF(OR(_xlpm.n="",_xlpm.n=0,_xlpm.tot=0,_xlpm.w=0),0,ROUND(_xlpm.cum/_xlpm.tot*_xlpm.n,0)-ROUND((_xlpm.cum-_xlpm.w)/_xlpm.tot*_xlpm.n,0)))</f>
        <v>0</v>
      </c>
      <c r="Q64" s="691" cm="1">
        <f t="array" aca="1" ref="Q64" ca="1">_xlfn.LET(_xlpm.w,INDEX(Q$19:Q$30,$U64),_xlpm.tot,SUMPRODUCT(Q$19:Q$30,$T$19:$T$30),_xlpm.n,Q$14,_xlpm.cum,SUMPRODUCT((ROW($C$19:$C$30)-18&lt;$U64)*Q$19:Q$30*$T$19:$T$30)+$V64*_xlpm.w,IF(OR(_xlpm.n="",_xlpm.n=0,_xlpm.tot=0,_xlpm.w=0),0,ROUND(_xlpm.cum/_xlpm.tot*_xlpm.n,0)-ROUND((_xlpm.cum-_xlpm.w)/_xlpm.tot*_xlpm.n,0)))</f>
        <v>0</v>
      </c>
      <c r="R64" s="691" cm="1">
        <f t="array" aca="1" ref="R64" ca="1">_xlfn.LET(_xlpm.w,INDEX(R$19:R$30,$U64),_xlpm.tot,SUMPRODUCT(R$19:R$30,$T$19:$T$30),_xlpm.n,R$14,_xlpm.cum,SUMPRODUCT((ROW($C$19:$C$30)-18&lt;$U64)*R$19:R$30*$T$19:$T$30)+$V64*_xlpm.w,IF(OR(_xlpm.n="",_xlpm.n=0,_xlpm.tot=0,_xlpm.w=0),0,ROUND(_xlpm.cum/_xlpm.tot*_xlpm.n,0)-ROUND((_xlpm.cum-_xlpm.w)/_xlpm.tot*_xlpm.n,0)))</f>
        <v>0</v>
      </c>
      <c r="S64" s="692">
        <f t="shared" ca="1" si="16"/>
        <v>1</v>
      </c>
      <c r="T64" s="693">
        <f t="shared" ca="1" si="17"/>
        <v>46079</v>
      </c>
      <c r="U64" s="694">
        <f t="shared" ca="1" si="18"/>
        <v>3</v>
      </c>
      <c r="V64" s="694">
        <f ca="1">COUNTIFS($U$56:$U64,$U64)</f>
        <v>1</v>
      </c>
      <c r="W64" s="695">
        <f t="shared" ca="1" si="19"/>
        <v>4.8</v>
      </c>
      <c r="X64" s="696" cm="1">
        <f t="array" aca="1" ref="X64" ca="1">INDEX($U$19:$U$30,$U64)</f>
        <v>20</v>
      </c>
      <c r="Y64" s="697">
        <f t="shared" ca="1" si="20"/>
        <v>0.24</v>
      </c>
      <c r="Z64" s="698" t="str">
        <f t="shared" ca="1" si="21"/>
        <v>OK</v>
      </c>
    </row>
    <row r="65" spans="1:26" ht="13.95" customHeight="1">
      <c r="A65" s="689">
        <f t="shared" si="22"/>
        <v>10</v>
      </c>
      <c r="B65" s="690" t="str" cm="1">
        <f t="array" aca="1" ref="B65" ca="1">INDEX($B$19:$B$30,$U65)</f>
        <v>MARS</v>
      </c>
      <c r="C65" s="691" cm="1">
        <f t="array" aca="1" ref="C65" ca="1">_xlfn.LET(_xlpm.w,INDEX(C$19:C$30,$U65),_xlpm.tot,SUMPRODUCT(C$19:C$30,$T$19:$T$30),_xlpm.n,C$14,_xlpm.cum,SUMPRODUCT((ROW($C$19:$C$30)-18&lt;$U65)*C$19:C$30*$T$19:$T$30)+$V65*_xlpm.w,IF(OR(_xlpm.n="",_xlpm.n=0,_xlpm.tot=0,_xlpm.w=0),0,ROUND(_xlpm.cum/_xlpm.tot*_xlpm.n,0)-ROUND((_xlpm.cum-_xlpm.w)/_xlpm.tot*_xlpm.n,0)))</f>
        <v>0</v>
      </c>
      <c r="D65" s="691" cm="1">
        <f t="array" aca="1" ref="D65" ca="1">_xlfn.LET(_xlpm.w,INDEX(D$19:D$30,$U65),_xlpm.tot,SUMPRODUCT(D$19:D$30,$T$19:$T$30),_xlpm.n,D$14,_xlpm.cum,SUMPRODUCT((ROW($C$19:$C$30)-18&lt;$U65)*D$19:D$30*$T$19:$T$30)+$V65*_xlpm.w,IF(OR(_xlpm.n="",_xlpm.n=0,_xlpm.tot=0,_xlpm.w=0),0,ROUND(_xlpm.cum/_xlpm.tot*_xlpm.n,0)-ROUND((_xlpm.cum-_xlpm.w)/_xlpm.tot*_xlpm.n,0)))</f>
        <v>0</v>
      </c>
      <c r="E65" s="691" cm="1">
        <f t="array" aca="1" ref="E65" ca="1">_xlfn.LET(_xlpm.w,INDEX(E$19:E$30,$U65),_xlpm.tot,SUMPRODUCT(E$19:E$30,$T$19:$T$30),_xlpm.n,E$14,_xlpm.cum,SUMPRODUCT((ROW($C$19:$C$30)-18&lt;$U65)*E$19:E$30*$T$19:$T$30)+$V65*_xlpm.w,IF(OR(_xlpm.n="",_xlpm.n=0,_xlpm.tot=0,_xlpm.w=0),0,ROUND(_xlpm.cum/_xlpm.tot*_xlpm.n,0)-ROUND((_xlpm.cum-_xlpm.w)/_xlpm.tot*_xlpm.n,0)))</f>
        <v>0</v>
      </c>
      <c r="F65" s="691" cm="1">
        <f t="array" aca="1" ref="F65" ca="1">_xlfn.LET(_xlpm.w,INDEX(F$19:F$30,$U65),_xlpm.tot,SUMPRODUCT(F$19:F$30,$T$19:$T$30),_xlpm.n,F$14,_xlpm.cum,SUMPRODUCT((ROW($C$19:$C$30)-18&lt;$U65)*F$19:F$30*$T$19:$T$30)+$V65*_xlpm.w,IF(OR(_xlpm.n="",_xlpm.n=0,_xlpm.tot=0,_xlpm.w=0),0,ROUND(_xlpm.cum/_xlpm.tot*_xlpm.n,0)-ROUND((_xlpm.cum-_xlpm.w)/_xlpm.tot*_xlpm.n,0)))</f>
        <v>1</v>
      </c>
      <c r="G65" s="691" cm="1">
        <f t="array" aca="1" ref="G65" ca="1">_xlfn.LET(_xlpm.w,INDEX(G$19:G$30,$U65),_xlpm.tot,SUMPRODUCT(G$19:G$30,$T$19:$T$30),_xlpm.n,G$14,_xlpm.cum,SUMPRODUCT((ROW($C$19:$C$30)-18&lt;$U65)*G$19:G$30*$T$19:$T$30)+$V65*_xlpm.w,IF(OR(_xlpm.n="",_xlpm.n=0,_xlpm.tot=0,_xlpm.w=0),0,ROUND(_xlpm.cum/_xlpm.tot*_xlpm.n,0)-ROUND((_xlpm.cum-_xlpm.w)/_xlpm.tot*_xlpm.n,0)))</f>
        <v>0</v>
      </c>
      <c r="H65" s="691" cm="1">
        <f t="array" aca="1" ref="H65" ca="1">_xlfn.LET(_xlpm.w,INDEX(H$19:H$30,$U65),_xlpm.tot,SUMPRODUCT(H$19:H$30,$T$19:$T$30),_xlpm.n,H$14,_xlpm.cum,SUMPRODUCT((ROW($C$19:$C$30)-18&lt;$U65)*H$19:H$30*$T$19:$T$30)+$V65*_xlpm.w,IF(OR(_xlpm.n="",_xlpm.n=0,_xlpm.tot=0,_xlpm.w=0),0,ROUND(_xlpm.cum/_xlpm.tot*_xlpm.n,0)-ROUND((_xlpm.cum-_xlpm.w)/_xlpm.tot*_xlpm.n,0)))</f>
        <v>0</v>
      </c>
      <c r="I65" s="691" cm="1">
        <f t="array" aca="1" ref="I65" ca="1">_xlfn.LET(_xlpm.w,INDEX(I$19:I$30,$U65),_xlpm.tot,SUMPRODUCT(I$19:I$30,$T$19:$T$30),_xlpm.n,I$14,_xlpm.cum,SUMPRODUCT((ROW($C$19:$C$30)-18&lt;$U65)*I$19:I$30*$T$19:$T$30)+$V65*_xlpm.w,IF(OR(_xlpm.n="",_xlpm.n=0,_xlpm.tot=0,_xlpm.w=0),0,ROUND(_xlpm.cum/_xlpm.tot*_xlpm.n,0)-ROUND((_xlpm.cum-_xlpm.w)/_xlpm.tot*_xlpm.n,0)))</f>
        <v>0</v>
      </c>
      <c r="J65" s="691" cm="1">
        <f t="array" aca="1" ref="J65" ca="1">_xlfn.LET(_xlpm.w,INDEX(J$19:J$30,$U65),_xlpm.tot,SUMPRODUCT(J$19:J$30,$T$19:$T$30),_xlpm.n,J$14,_xlpm.cum,SUMPRODUCT((ROW($C$19:$C$30)-18&lt;$U65)*J$19:J$30*$T$19:$T$30)+$V65*_xlpm.w,IF(OR(_xlpm.n="",_xlpm.n=0,_xlpm.tot=0,_xlpm.w=0),0,ROUND(_xlpm.cum/_xlpm.tot*_xlpm.n,0)-ROUND((_xlpm.cum-_xlpm.w)/_xlpm.tot*_xlpm.n,0)))</f>
        <v>0</v>
      </c>
      <c r="K65" s="691" cm="1">
        <f t="array" aca="1" ref="K65" ca="1">_xlfn.LET(_xlpm.w,INDEX(K$19:K$30,$U65),_xlpm.tot,SUMPRODUCT(K$19:K$30,$T$19:$T$30),_xlpm.n,K$14,_xlpm.cum,SUMPRODUCT((ROW($C$19:$C$30)-18&lt;$U65)*K$19:K$30*$T$19:$T$30)+$V65*_xlpm.w,IF(OR(_xlpm.n="",_xlpm.n=0,_xlpm.tot=0,_xlpm.w=0),0,ROUND(_xlpm.cum/_xlpm.tot*_xlpm.n,0)-ROUND((_xlpm.cum-_xlpm.w)/_xlpm.tot*_xlpm.n,0)))</f>
        <v>0</v>
      </c>
      <c r="L65" s="691" cm="1">
        <f t="array" aca="1" ref="L65" ca="1">_xlfn.LET(_xlpm.w,INDEX(L$19:L$30,$U65),_xlpm.tot,SUMPRODUCT(L$19:L$30,$T$19:$T$30),_xlpm.n,L$14,_xlpm.cum,SUMPRODUCT((ROW($C$19:$C$30)-18&lt;$U65)*L$19:L$30*$T$19:$T$30)+$V65*_xlpm.w,IF(OR(_xlpm.n="",_xlpm.n=0,_xlpm.tot=0,_xlpm.w=0),0,ROUND(_xlpm.cum/_xlpm.tot*_xlpm.n,0)-ROUND((_xlpm.cum-_xlpm.w)/_xlpm.tot*_xlpm.n,0)))</f>
        <v>0</v>
      </c>
      <c r="M65" s="691" cm="1">
        <f t="array" aca="1" ref="M65" ca="1">_xlfn.LET(_xlpm.w,INDEX(M$19:M$30,$U65),_xlpm.tot,SUMPRODUCT(M$19:M$30,$T$19:$T$30),_xlpm.n,M$14,_xlpm.cum,SUMPRODUCT((ROW($C$19:$C$30)-18&lt;$U65)*M$19:M$30*$T$19:$T$30)+$V65*_xlpm.w,IF(OR(_xlpm.n="",_xlpm.n=0,_xlpm.tot=0,_xlpm.w=0),0,ROUND(_xlpm.cum/_xlpm.tot*_xlpm.n,0)-ROUND((_xlpm.cum-_xlpm.w)/_xlpm.tot*_xlpm.n,0)))</f>
        <v>0</v>
      </c>
      <c r="N65" s="691" cm="1">
        <f t="array" aca="1" ref="N65" ca="1">_xlfn.LET(_xlpm.w,INDEX(N$19:N$30,$U65),_xlpm.tot,SUMPRODUCT(N$19:N$30,$T$19:$T$30),_xlpm.n,N$14,_xlpm.cum,SUMPRODUCT((ROW($C$19:$C$30)-18&lt;$U65)*N$19:N$30*$T$19:$T$30)+$V65*_xlpm.w,IF(OR(_xlpm.n="",_xlpm.n=0,_xlpm.tot=0,_xlpm.w=0),0,ROUND(_xlpm.cum/_xlpm.tot*_xlpm.n,0)-ROUND((_xlpm.cum-_xlpm.w)/_xlpm.tot*_xlpm.n,0)))</f>
        <v>0</v>
      </c>
      <c r="O65" s="691" cm="1">
        <f t="array" aca="1" ref="O65" ca="1">_xlfn.LET(_xlpm.w,INDEX(O$19:O$30,$U65),_xlpm.tot,SUMPRODUCT(O$19:O$30,$T$19:$T$30),_xlpm.n,O$14,_xlpm.cum,SUMPRODUCT((ROW($C$19:$C$30)-18&lt;$U65)*O$19:O$30*$T$19:$T$30)+$V65*_xlpm.w,IF(OR(_xlpm.n="",_xlpm.n=0,_xlpm.tot=0,_xlpm.w=0),0,ROUND(_xlpm.cum/_xlpm.tot*_xlpm.n,0)-ROUND((_xlpm.cum-_xlpm.w)/_xlpm.tot*_xlpm.n,0)))</f>
        <v>0</v>
      </c>
      <c r="P65" s="691" cm="1">
        <f t="array" aca="1" ref="P65" ca="1">_xlfn.LET(_xlpm.w,INDEX(P$19:P$30,$U65),_xlpm.tot,SUMPRODUCT(P$19:P$30,$T$19:$T$30),_xlpm.n,P$14,_xlpm.cum,SUMPRODUCT((ROW($C$19:$C$30)-18&lt;$U65)*P$19:P$30*$T$19:$T$30)+$V65*_xlpm.w,IF(OR(_xlpm.n="",_xlpm.n=0,_xlpm.tot=0,_xlpm.w=0),0,ROUND(_xlpm.cum/_xlpm.tot*_xlpm.n,0)-ROUND((_xlpm.cum-_xlpm.w)/_xlpm.tot*_xlpm.n,0)))</f>
        <v>0</v>
      </c>
      <c r="Q65" s="691" cm="1">
        <f t="array" aca="1" ref="Q65" ca="1">_xlfn.LET(_xlpm.w,INDEX(Q$19:Q$30,$U65),_xlpm.tot,SUMPRODUCT(Q$19:Q$30,$T$19:$T$30),_xlpm.n,Q$14,_xlpm.cum,SUMPRODUCT((ROW($C$19:$C$30)-18&lt;$U65)*Q$19:Q$30*$T$19:$T$30)+$V65*_xlpm.w,IF(OR(_xlpm.n="",_xlpm.n=0,_xlpm.tot=0,_xlpm.w=0),0,ROUND(_xlpm.cum/_xlpm.tot*_xlpm.n,0)-ROUND((_xlpm.cum-_xlpm.w)/_xlpm.tot*_xlpm.n,0)))</f>
        <v>0</v>
      </c>
      <c r="R65" s="691" cm="1">
        <f t="array" aca="1" ref="R65" ca="1">_xlfn.LET(_xlpm.w,INDEX(R$19:R$30,$U65),_xlpm.tot,SUMPRODUCT(R$19:R$30,$T$19:$T$30),_xlpm.n,R$14,_xlpm.cum,SUMPRODUCT((ROW($C$19:$C$30)-18&lt;$U65)*R$19:R$30*$T$19:$T$30)+$V65*_xlpm.w,IF(OR(_xlpm.n="",_xlpm.n=0,_xlpm.tot=0,_xlpm.w=0),0,ROUND(_xlpm.cum/_xlpm.tot*_xlpm.n,0)-ROUND((_xlpm.cum-_xlpm.w)/_xlpm.tot*_xlpm.n,0)))</f>
        <v>0</v>
      </c>
      <c r="S65" s="692">
        <f t="shared" ca="1" si="16"/>
        <v>1</v>
      </c>
      <c r="T65" s="693">
        <f t="shared" ca="1" si="17"/>
        <v>46086</v>
      </c>
      <c r="U65" s="694">
        <f t="shared" ca="1" si="18"/>
        <v>3</v>
      </c>
      <c r="V65" s="694">
        <f ca="1">COUNTIFS($U$56:$U65,$U65)</f>
        <v>2</v>
      </c>
      <c r="W65" s="695">
        <f t="shared" ca="1" si="19"/>
        <v>4.8</v>
      </c>
      <c r="X65" s="696" cm="1">
        <f t="array" aca="1" ref="X65" ca="1">INDEX($U$19:$U$30,$U65)</f>
        <v>20</v>
      </c>
      <c r="Y65" s="697">
        <f t="shared" ca="1" si="20"/>
        <v>0.24</v>
      </c>
      <c r="Z65" s="698" t="str">
        <f t="shared" ca="1" si="21"/>
        <v>OK</v>
      </c>
    </row>
    <row r="66" spans="1:26" ht="13.95" customHeight="1">
      <c r="A66" s="689">
        <f t="shared" si="22"/>
        <v>11</v>
      </c>
      <c r="B66" s="690" t="str" cm="1">
        <f t="array" aca="1" ref="B66" ca="1">INDEX($B$19:$B$30,$U66)</f>
        <v>MARS</v>
      </c>
      <c r="C66" s="691" cm="1">
        <f t="array" aca="1" ref="C66" ca="1">_xlfn.LET(_xlpm.w,INDEX(C$19:C$30,$U66),_xlpm.tot,SUMPRODUCT(C$19:C$30,$T$19:$T$30),_xlpm.n,C$14,_xlpm.cum,SUMPRODUCT((ROW($C$19:$C$30)-18&lt;$U66)*C$19:C$30*$T$19:$T$30)+$V66*_xlpm.w,IF(OR(_xlpm.n="",_xlpm.n=0,_xlpm.tot=0,_xlpm.w=0),0,ROUND(_xlpm.cum/_xlpm.tot*_xlpm.n,0)-ROUND((_xlpm.cum-_xlpm.w)/_xlpm.tot*_xlpm.n,0)))</f>
        <v>0</v>
      </c>
      <c r="D66" s="691" cm="1">
        <f t="array" aca="1" ref="D66" ca="1">_xlfn.LET(_xlpm.w,INDEX(D$19:D$30,$U66),_xlpm.tot,SUMPRODUCT(D$19:D$30,$T$19:$T$30),_xlpm.n,D$14,_xlpm.cum,SUMPRODUCT((ROW($C$19:$C$30)-18&lt;$U66)*D$19:D$30*$T$19:$T$30)+$V66*_xlpm.w,IF(OR(_xlpm.n="",_xlpm.n=0,_xlpm.tot=0,_xlpm.w=0),0,ROUND(_xlpm.cum/_xlpm.tot*_xlpm.n,0)-ROUND((_xlpm.cum-_xlpm.w)/_xlpm.tot*_xlpm.n,0)))</f>
        <v>0</v>
      </c>
      <c r="E66" s="691" cm="1">
        <f t="array" aca="1" ref="E66" ca="1">_xlfn.LET(_xlpm.w,INDEX(E$19:E$30,$U66),_xlpm.tot,SUMPRODUCT(E$19:E$30,$T$19:$T$30),_xlpm.n,E$14,_xlpm.cum,SUMPRODUCT((ROW($C$19:$C$30)-18&lt;$U66)*E$19:E$30*$T$19:$T$30)+$V66*_xlpm.w,IF(OR(_xlpm.n="",_xlpm.n=0,_xlpm.tot=0,_xlpm.w=0),0,ROUND(_xlpm.cum/_xlpm.tot*_xlpm.n,0)-ROUND((_xlpm.cum-_xlpm.w)/_xlpm.tot*_xlpm.n,0)))</f>
        <v>0</v>
      </c>
      <c r="F66" s="691" cm="1">
        <f t="array" aca="1" ref="F66" ca="1">_xlfn.LET(_xlpm.w,INDEX(F$19:F$30,$U66),_xlpm.tot,SUMPRODUCT(F$19:F$30,$T$19:$T$30),_xlpm.n,F$14,_xlpm.cum,SUMPRODUCT((ROW($C$19:$C$30)-18&lt;$U66)*F$19:F$30*$T$19:$T$30)+$V66*_xlpm.w,IF(OR(_xlpm.n="",_xlpm.n=0,_xlpm.tot=0,_xlpm.w=0),0,ROUND(_xlpm.cum/_xlpm.tot*_xlpm.n,0)-ROUND((_xlpm.cum-_xlpm.w)/_xlpm.tot*_xlpm.n,0)))</f>
        <v>0</v>
      </c>
      <c r="G66" s="691" cm="1">
        <f t="array" aca="1" ref="G66" ca="1">_xlfn.LET(_xlpm.w,INDEX(G$19:G$30,$U66),_xlpm.tot,SUMPRODUCT(G$19:G$30,$T$19:$T$30),_xlpm.n,G$14,_xlpm.cum,SUMPRODUCT((ROW($C$19:$C$30)-18&lt;$U66)*G$19:G$30*$T$19:$T$30)+$V66*_xlpm.w,IF(OR(_xlpm.n="",_xlpm.n=0,_xlpm.tot=0,_xlpm.w=0),0,ROUND(_xlpm.cum/_xlpm.tot*_xlpm.n,0)-ROUND((_xlpm.cum-_xlpm.w)/_xlpm.tot*_xlpm.n,0)))</f>
        <v>1</v>
      </c>
      <c r="H66" s="691" cm="1">
        <f t="array" aca="1" ref="H66" ca="1">_xlfn.LET(_xlpm.w,INDEX(H$19:H$30,$U66),_xlpm.tot,SUMPRODUCT(H$19:H$30,$T$19:$T$30),_xlpm.n,H$14,_xlpm.cum,SUMPRODUCT((ROW($C$19:$C$30)-18&lt;$U66)*H$19:H$30*$T$19:$T$30)+$V66*_xlpm.w,IF(OR(_xlpm.n="",_xlpm.n=0,_xlpm.tot=0,_xlpm.w=0),0,ROUND(_xlpm.cum/_xlpm.tot*_xlpm.n,0)-ROUND((_xlpm.cum-_xlpm.w)/_xlpm.tot*_xlpm.n,0)))</f>
        <v>0</v>
      </c>
      <c r="I66" s="691" cm="1">
        <f t="array" aca="1" ref="I66" ca="1">_xlfn.LET(_xlpm.w,INDEX(I$19:I$30,$U66),_xlpm.tot,SUMPRODUCT(I$19:I$30,$T$19:$T$30),_xlpm.n,I$14,_xlpm.cum,SUMPRODUCT((ROW($C$19:$C$30)-18&lt;$U66)*I$19:I$30*$T$19:$T$30)+$V66*_xlpm.w,IF(OR(_xlpm.n="",_xlpm.n=0,_xlpm.tot=0,_xlpm.w=0),0,ROUND(_xlpm.cum/_xlpm.tot*_xlpm.n,0)-ROUND((_xlpm.cum-_xlpm.w)/_xlpm.tot*_xlpm.n,0)))</f>
        <v>0</v>
      </c>
      <c r="J66" s="691" cm="1">
        <f t="array" aca="1" ref="J66" ca="1">_xlfn.LET(_xlpm.w,INDEX(J$19:J$30,$U66),_xlpm.tot,SUMPRODUCT(J$19:J$30,$T$19:$T$30),_xlpm.n,J$14,_xlpm.cum,SUMPRODUCT((ROW($C$19:$C$30)-18&lt;$U66)*J$19:J$30*$T$19:$T$30)+$V66*_xlpm.w,IF(OR(_xlpm.n="",_xlpm.n=0,_xlpm.tot=0,_xlpm.w=0),0,ROUND(_xlpm.cum/_xlpm.tot*_xlpm.n,0)-ROUND((_xlpm.cum-_xlpm.w)/_xlpm.tot*_xlpm.n,0)))</f>
        <v>0</v>
      </c>
      <c r="K66" s="691" cm="1">
        <f t="array" aca="1" ref="K66" ca="1">_xlfn.LET(_xlpm.w,INDEX(K$19:K$30,$U66),_xlpm.tot,SUMPRODUCT(K$19:K$30,$T$19:$T$30),_xlpm.n,K$14,_xlpm.cum,SUMPRODUCT((ROW($C$19:$C$30)-18&lt;$U66)*K$19:K$30*$T$19:$T$30)+$V66*_xlpm.w,IF(OR(_xlpm.n="",_xlpm.n=0,_xlpm.tot=0,_xlpm.w=0),0,ROUND(_xlpm.cum/_xlpm.tot*_xlpm.n,0)-ROUND((_xlpm.cum-_xlpm.w)/_xlpm.tot*_xlpm.n,0)))</f>
        <v>0</v>
      </c>
      <c r="L66" s="691" cm="1">
        <f t="array" aca="1" ref="L66" ca="1">_xlfn.LET(_xlpm.w,INDEX(L$19:L$30,$U66),_xlpm.tot,SUMPRODUCT(L$19:L$30,$T$19:$T$30),_xlpm.n,L$14,_xlpm.cum,SUMPRODUCT((ROW($C$19:$C$30)-18&lt;$U66)*L$19:L$30*$T$19:$T$30)+$V66*_xlpm.w,IF(OR(_xlpm.n="",_xlpm.n=0,_xlpm.tot=0,_xlpm.w=0),0,ROUND(_xlpm.cum/_xlpm.tot*_xlpm.n,0)-ROUND((_xlpm.cum-_xlpm.w)/_xlpm.tot*_xlpm.n,0)))</f>
        <v>0</v>
      </c>
      <c r="M66" s="691" cm="1">
        <f t="array" aca="1" ref="M66" ca="1">_xlfn.LET(_xlpm.w,INDEX(M$19:M$30,$U66),_xlpm.tot,SUMPRODUCT(M$19:M$30,$T$19:$T$30),_xlpm.n,M$14,_xlpm.cum,SUMPRODUCT((ROW($C$19:$C$30)-18&lt;$U66)*M$19:M$30*$T$19:$T$30)+$V66*_xlpm.w,IF(OR(_xlpm.n="",_xlpm.n=0,_xlpm.tot=0,_xlpm.w=0),0,ROUND(_xlpm.cum/_xlpm.tot*_xlpm.n,0)-ROUND((_xlpm.cum-_xlpm.w)/_xlpm.tot*_xlpm.n,0)))</f>
        <v>0</v>
      </c>
      <c r="N66" s="691" cm="1">
        <f t="array" aca="1" ref="N66" ca="1">_xlfn.LET(_xlpm.w,INDEX(N$19:N$30,$U66),_xlpm.tot,SUMPRODUCT(N$19:N$30,$T$19:$T$30),_xlpm.n,N$14,_xlpm.cum,SUMPRODUCT((ROW($C$19:$C$30)-18&lt;$U66)*N$19:N$30*$T$19:$T$30)+$V66*_xlpm.w,IF(OR(_xlpm.n="",_xlpm.n=0,_xlpm.tot=0,_xlpm.w=0),0,ROUND(_xlpm.cum/_xlpm.tot*_xlpm.n,0)-ROUND((_xlpm.cum-_xlpm.w)/_xlpm.tot*_xlpm.n,0)))</f>
        <v>0</v>
      </c>
      <c r="O66" s="691" cm="1">
        <f t="array" aca="1" ref="O66" ca="1">_xlfn.LET(_xlpm.w,INDEX(O$19:O$30,$U66),_xlpm.tot,SUMPRODUCT(O$19:O$30,$T$19:$T$30),_xlpm.n,O$14,_xlpm.cum,SUMPRODUCT((ROW($C$19:$C$30)-18&lt;$U66)*O$19:O$30*$T$19:$T$30)+$V66*_xlpm.w,IF(OR(_xlpm.n="",_xlpm.n=0,_xlpm.tot=0,_xlpm.w=0),0,ROUND(_xlpm.cum/_xlpm.tot*_xlpm.n,0)-ROUND((_xlpm.cum-_xlpm.w)/_xlpm.tot*_xlpm.n,0)))</f>
        <v>0</v>
      </c>
      <c r="P66" s="691" cm="1">
        <f t="array" aca="1" ref="P66" ca="1">_xlfn.LET(_xlpm.w,INDEX(P$19:P$30,$U66),_xlpm.tot,SUMPRODUCT(P$19:P$30,$T$19:$T$30),_xlpm.n,P$14,_xlpm.cum,SUMPRODUCT((ROW($C$19:$C$30)-18&lt;$U66)*P$19:P$30*$T$19:$T$30)+$V66*_xlpm.w,IF(OR(_xlpm.n="",_xlpm.n=0,_xlpm.tot=0,_xlpm.w=0),0,ROUND(_xlpm.cum/_xlpm.tot*_xlpm.n,0)-ROUND((_xlpm.cum-_xlpm.w)/_xlpm.tot*_xlpm.n,0)))</f>
        <v>0</v>
      </c>
      <c r="Q66" s="691" cm="1">
        <f t="array" aca="1" ref="Q66" ca="1">_xlfn.LET(_xlpm.w,INDEX(Q$19:Q$30,$U66),_xlpm.tot,SUMPRODUCT(Q$19:Q$30,$T$19:$T$30),_xlpm.n,Q$14,_xlpm.cum,SUMPRODUCT((ROW($C$19:$C$30)-18&lt;$U66)*Q$19:Q$30*$T$19:$T$30)+$V66*_xlpm.w,IF(OR(_xlpm.n="",_xlpm.n=0,_xlpm.tot=0,_xlpm.w=0),0,ROUND(_xlpm.cum/_xlpm.tot*_xlpm.n,0)-ROUND((_xlpm.cum-_xlpm.w)/_xlpm.tot*_xlpm.n,0)))</f>
        <v>0</v>
      </c>
      <c r="R66" s="691" cm="1">
        <f t="array" aca="1" ref="R66" ca="1">_xlfn.LET(_xlpm.w,INDEX(R$19:R$30,$U66),_xlpm.tot,SUMPRODUCT(R$19:R$30,$T$19:$T$30),_xlpm.n,R$14,_xlpm.cum,SUMPRODUCT((ROW($C$19:$C$30)-18&lt;$U66)*R$19:R$30*$T$19:$T$30)+$V66*_xlpm.w,IF(OR(_xlpm.n="",_xlpm.n=0,_xlpm.tot=0,_xlpm.w=0),0,ROUND(_xlpm.cum/_xlpm.tot*_xlpm.n,0)-ROUND((_xlpm.cum-_xlpm.w)/_xlpm.tot*_xlpm.n,0)))</f>
        <v>0</v>
      </c>
      <c r="S66" s="692">
        <f t="shared" ca="1" si="16"/>
        <v>1</v>
      </c>
      <c r="T66" s="693">
        <f t="shared" ca="1" si="17"/>
        <v>46093</v>
      </c>
      <c r="U66" s="694">
        <f t="shared" ca="1" si="18"/>
        <v>3</v>
      </c>
      <c r="V66" s="694">
        <f ca="1">COUNTIFS($U$56:$U66,$U66)</f>
        <v>3</v>
      </c>
      <c r="W66" s="695">
        <f t="shared" ca="1" si="19"/>
        <v>4.8</v>
      </c>
      <c r="X66" s="696" cm="1">
        <f t="array" aca="1" ref="X66" ca="1">INDEX($U$19:$U$30,$U66)</f>
        <v>20</v>
      </c>
      <c r="Y66" s="697">
        <f t="shared" ca="1" si="20"/>
        <v>0.24</v>
      </c>
      <c r="Z66" s="698" t="str">
        <f t="shared" ca="1" si="21"/>
        <v>OK</v>
      </c>
    </row>
    <row r="67" spans="1:26" ht="13.95" customHeight="1">
      <c r="A67" s="689">
        <f t="shared" si="22"/>
        <v>12</v>
      </c>
      <c r="B67" s="690" t="str" cm="1">
        <f t="array" aca="1" ref="B67" ca="1">INDEX($B$19:$B$30,$U67)</f>
        <v>MARS</v>
      </c>
      <c r="C67" s="691" cm="1">
        <f t="array" aca="1" ref="C67" ca="1">_xlfn.LET(_xlpm.w,INDEX(C$19:C$30,$U67),_xlpm.tot,SUMPRODUCT(C$19:C$30,$T$19:$T$30),_xlpm.n,C$14,_xlpm.cum,SUMPRODUCT((ROW($C$19:$C$30)-18&lt;$U67)*C$19:C$30*$T$19:$T$30)+$V67*_xlpm.w,IF(OR(_xlpm.n="",_xlpm.n=0,_xlpm.tot=0,_xlpm.w=0),0,ROUND(_xlpm.cum/_xlpm.tot*_xlpm.n,0)-ROUND((_xlpm.cum-_xlpm.w)/_xlpm.tot*_xlpm.n,0)))</f>
        <v>0</v>
      </c>
      <c r="D67" s="691" cm="1">
        <f t="array" aca="1" ref="D67" ca="1">_xlfn.LET(_xlpm.w,INDEX(D$19:D$30,$U67),_xlpm.tot,SUMPRODUCT(D$19:D$30,$T$19:$T$30),_xlpm.n,D$14,_xlpm.cum,SUMPRODUCT((ROW($C$19:$C$30)-18&lt;$U67)*D$19:D$30*$T$19:$T$30)+$V67*_xlpm.w,IF(OR(_xlpm.n="",_xlpm.n=0,_xlpm.tot=0,_xlpm.w=0),0,ROUND(_xlpm.cum/_xlpm.tot*_xlpm.n,0)-ROUND((_xlpm.cum-_xlpm.w)/_xlpm.tot*_xlpm.n,0)))</f>
        <v>0</v>
      </c>
      <c r="E67" s="691" cm="1">
        <f t="array" aca="1" ref="E67" ca="1">_xlfn.LET(_xlpm.w,INDEX(E$19:E$30,$U67),_xlpm.tot,SUMPRODUCT(E$19:E$30,$T$19:$T$30),_xlpm.n,E$14,_xlpm.cum,SUMPRODUCT((ROW($C$19:$C$30)-18&lt;$U67)*E$19:E$30*$T$19:$T$30)+$V67*_xlpm.w,IF(OR(_xlpm.n="",_xlpm.n=0,_xlpm.tot=0,_xlpm.w=0),0,ROUND(_xlpm.cum/_xlpm.tot*_xlpm.n,0)-ROUND((_xlpm.cum-_xlpm.w)/_xlpm.tot*_xlpm.n,0)))</f>
        <v>0</v>
      </c>
      <c r="F67" s="691" cm="1">
        <f t="array" aca="1" ref="F67" ca="1">_xlfn.LET(_xlpm.w,INDEX(F$19:F$30,$U67),_xlpm.tot,SUMPRODUCT(F$19:F$30,$T$19:$T$30),_xlpm.n,F$14,_xlpm.cum,SUMPRODUCT((ROW($C$19:$C$30)-18&lt;$U67)*F$19:F$30*$T$19:$T$30)+$V67*_xlpm.w,IF(OR(_xlpm.n="",_xlpm.n=0,_xlpm.tot=0,_xlpm.w=0),0,ROUND(_xlpm.cum/_xlpm.tot*_xlpm.n,0)-ROUND((_xlpm.cum-_xlpm.w)/_xlpm.tot*_xlpm.n,0)))</f>
        <v>1</v>
      </c>
      <c r="G67" s="691" cm="1">
        <f t="array" aca="1" ref="G67" ca="1">_xlfn.LET(_xlpm.w,INDEX(G$19:G$30,$U67),_xlpm.tot,SUMPRODUCT(G$19:G$30,$T$19:$T$30),_xlpm.n,G$14,_xlpm.cum,SUMPRODUCT((ROW($C$19:$C$30)-18&lt;$U67)*G$19:G$30*$T$19:$T$30)+$V67*_xlpm.w,IF(OR(_xlpm.n="",_xlpm.n=0,_xlpm.tot=0,_xlpm.w=0),0,ROUND(_xlpm.cum/_xlpm.tot*_xlpm.n,0)-ROUND((_xlpm.cum-_xlpm.w)/_xlpm.tot*_xlpm.n,0)))</f>
        <v>0</v>
      </c>
      <c r="H67" s="691" cm="1">
        <f t="array" aca="1" ref="H67" ca="1">_xlfn.LET(_xlpm.w,INDEX(H$19:H$30,$U67),_xlpm.tot,SUMPRODUCT(H$19:H$30,$T$19:$T$30),_xlpm.n,H$14,_xlpm.cum,SUMPRODUCT((ROW($C$19:$C$30)-18&lt;$U67)*H$19:H$30*$T$19:$T$30)+$V67*_xlpm.w,IF(OR(_xlpm.n="",_xlpm.n=0,_xlpm.tot=0,_xlpm.w=0),0,ROUND(_xlpm.cum/_xlpm.tot*_xlpm.n,0)-ROUND((_xlpm.cum-_xlpm.w)/_xlpm.tot*_xlpm.n,0)))</f>
        <v>0</v>
      </c>
      <c r="I67" s="691" cm="1">
        <f t="array" aca="1" ref="I67" ca="1">_xlfn.LET(_xlpm.w,INDEX(I$19:I$30,$U67),_xlpm.tot,SUMPRODUCT(I$19:I$30,$T$19:$T$30),_xlpm.n,I$14,_xlpm.cum,SUMPRODUCT((ROW($C$19:$C$30)-18&lt;$U67)*I$19:I$30*$T$19:$T$30)+$V67*_xlpm.w,IF(OR(_xlpm.n="",_xlpm.n=0,_xlpm.tot=0,_xlpm.w=0),0,ROUND(_xlpm.cum/_xlpm.tot*_xlpm.n,0)-ROUND((_xlpm.cum-_xlpm.w)/_xlpm.tot*_xlpm.n,0)))</f>
        <v>0</v>
      </c>
      <c r="J67" s="691" cm="1">
        <f t="array" aca="1" ref="J67" ca="1">_xlfn.LET(_xlpm.w,INDEX(J$19:J$30,$U67),_xlpm.tot,SUMPRODUCT(J$19:J$30,$T$19:$T$30),_xlpm.n,J$14,_xlpm.cum,SUMPRODUCT((ROW($C$19:$C$30)-18&lt;$U67)*J$19:J$30*$T$19:$T$30)+$V67*_xlpm.w,IF(OR(_xlpm.n="",_xlpm.n=0,_xlpm.tot=0,_xlpm.w=0),0,ROUND(_xlpm.cum/_xlpm.tot*_xlpm.n,0)-ROUND((_xlpm.cum-_xlpm.w)/_xlpm.tot*_xlpm.n,0)))</f>
        <v>0</v>
      </c>
      <c r="K67" s="691" cm="1">
        <f t="array" aca="1" ref="K67" ca="1">_xlfn.LET(_xlpm.w,INDEX(K$19:K$30,$U67),_xlpm.tot,SUMPRODUCT(K$19:K$30,$T$19:$T$30),_xlpm.n,K$14,_xlpm.cum,SUMPRODUCT((ROW($C$19:$C$30)-18&lt;$U67)*K$19:K$30*$T$19:$T$30)+$V67*_xlpm.w,IF(OR(_xlpm.n="",_xlpm.n=0,_xlpm.tot=0,_xlpm.w=0),0,ROUND(_xlpm.cum/_xlpm.tot*_xlpm.n,0)-ROUND((_xlpm.cum-_xlpm.w)/_xlpm.tot*_xlpm.n,0)))</f>
        <v>0</v>
      </c>
      <c r="L67" s="691" cm="1">
        <f t="array" aca="1" ref="L67" ca="1">_xlfn.LET(_xlpm.w,INDEX(L$19:L$30,$U67),_xlpm.tot,SUMPRODUCT(L$19:L$30,$T$19:$T$30),_xlpm.n,L$14,_xlpm.cum,SUMPRODUCT((ROW($C$19:$C$30)-18&lt;$U67)*L$19:L$30*$T$19:$T$30)+$V67*_xlpm.w,IF(OR(_xlpm.n="",_xlpm.n=0,_xlpm.tot=0,_xlpm.w=0),0,ROUND(_xlpm.cum/_xlpm.tot*_xlpm.n,0)-ROUND((_xlpm.cum-_xlpm.w)/_xlpm.tot*_xlpm.n,0)))</f>
        <v>0</v>
      </c>
      <c r="M67" s="691" cm="1">
        <f t="array" aca="1" ref="M67" ca="1">_xlfn.LET(_xlpm.w,INDEX(M$19:M$30,$U67),_xlpm.tot,SUMPRODUCT(M$19:M$30,$T$19:$T$30),_xlpm.n,M$14,_xlpm.cum,SUMPRODUCT((ROW($C$19:$C$30)-18&lt;$U67)*M$19:M$30*$T$19:$T$30)+$V67*_xlpm.w,IF(OR(_xlpm.n="",_xlpm.n=0,_xlpm.tot=0,_xlpm.w=0),0,ROUND(_xlpm.cum/_xlpm.tot*_xlpm.n,0)-ROUND((_xlpm.cum-_xlpm.w)/_xlpm.tot*_xlpm.n,0)))</f>
        <v>0</v>
      </c>
      <c r="N67" s="691" cm="1">
        <f t="array" aca="1" ref="N67" ca="1">_xlfn.LET(_xlpm.w,INDEX(N$19:N$30,$U67),_xlpm.tot,SUMPRODUCT(N$19:N$30,$T$19:$T$30),_xlpm.n,N$14,_xlpm.cum,SUMPRODUCT((ROW($C$19:$C$30)-18&lt;$U67)*N$19:N$30*$T$19:$T$30)+$V67*_xlpm.w,IF(OR(_xlpm.n="",_xlpm.n=0,_xlpm.tot=0,_xlpm.w=0),0,ROUND(_xlpm.cum/_xlpm.tot*_xlpm.n,0)-ROUND((_xlpm.cum-_xlpm.w)/_xlpm.tot*_xlpm.n,0)))</f>
        <v>0</v>
      </c>
      <c r="O67" s="691" cm="1">
        <f t="array" aca="1" ref="O67" ca="1">_xlfn.LET(_xlpm.w,INDEX(O$19:O$30,$U67),_xlpm.tot,SUMPRODUCT(O$19:O$30,$T$19:$T$30),_xlpm.n,O$14,_xlpm.cum,SUMPRODUCT((ROW($C$19:$C$30)-18&lt;$U67)*O$19:O$30*$T$19:$T$30)+$V67*_xlpm.w,IF(OR(_xlpm.n="",_xlpm.n=0,_xlpm.tot=0,_xlpm.w=0),0,ROUND(_xlpm.cum/_xlpm.tot*_xlpm.n,0)-ROUND((_xlpm.cum-_xlpm.w)/_xlpm.tot*_xlpm.n,0)))</f>
        <v>0</v>
      </c>
      <c r="P67" s="691" cm="1">
        <f t="array" aca="1" ref="P67" ca="1">_xlfn.LET(_xlpm.w,INDEX(P$19:P$30,$U67),_xlpm.tot,SUMPRODUCT(P$19:P$30,$T$19:$T$30),_xlpm.n,P$14,_xlpm.cum,SUMPRODUCT((ROW($C$19:$C$30)-18&lt;$U67)*P$19:P$30*$T$19:$T$30)+$V67*_xlpm.w,IF(OR(_xlpm.n="",_xlpm.n=0,_xlpm.tot=0,_xlpm.w=0),0,ROUND(_xlpm.cum/_xlpm.tot*_xlpm.n,0)-ROUND((_xlpm.cum-_xlpm.w)/_xlpm.tot*_xlpm.n,0)))</f>
        <v>0</v>
      </c>
      <c r="Q67" s="691" cm="1">
        <f t="array" aca="1" ref="Q67" ca="1">_xlfn.LET(_xlpm.w,INDEX(Q$19:Q$30,$U67),_xlpm.tot,SUMPRODUCT(Q$19:Q$30,$T$19:$T$30),_xlpm.n,Q$14,_xlpm.cum,SUMPRODUCT((ROW($C$19:$C$30)-18&lt;$U67)*Q$19:Q$30*$T$19:$T$30)+$V67*_xlpm.w,IF(OR(_xlpm.n="",_xlpm.n=0,_xlpm.tot=0,_xlpm.w=0),0,ROUND(_xlpm.cum/_xlpm.tot*_xlpm.n,0)-ROUND((_xlpm.cum-_xlpm.w)/_xlpm.tot*_xlpm.n,0)))</f>
        <v>0</v>
      </c>
      <c r="R67" s="691" cm="1">
        <f t="array" aca="1" ref="R67" ca="1">_xlfn.LET(_xlpm.w,INDEX(R$19:R$30,$U67),_xlpm.tot,SUMPRODUCT(R$19:R$30,$T$19:$T$30),_xlpm.n,R$14,_xlpm.cum,SUMPRODUCT((ROW($C$19:$C$30)-18&lt;$U67)*R$19:R$30*$T$19:$T$30)+$V67*_xlpm.w,IF(OR(_xlpm.n="",_xlpm.n=0,_xlpm.tot=0,_xlpm.w=0),0,ROUND(_xlpm.cum/_xlpm.tot*_xlpm.n,0)-ROUND((_xlpm.cum-_xlpm.w)/_xlpm.tot*_xlpm.n,0)))</f>
        <v>0</v>
      </c>
      <c r="S67" s="692">
        <f t="shared" ca="1" si="16"/>
        <v>1</v>
      </c>
      <c r="T67" s="693">
        <f t="shared" ca="1" si="17"/>
        <v>46100</v>
      </c>
      <c r="U67" s="694">
        <f t="shared" ca="1" si="18"/>
        <v>3</v>
      </c>
      <c r="V67" s="694">
        <f ca="1">COUNTIFS($U$56:$U67,$U67)</f>
        <v>4</v>
      </c>
      <c r="W67" s="695">
        <f t="shared" ca="1" si="19"/>
        <v>4.8</v>
      </c>
      <c r="X67" s="696" cm="1">
        <f t="array" aca="1" ref="X67" ca="1">INDEX($U$19:$U$30,$U67)</f>
        <v>20</v>
      </c>
      <c r="Y67" s="697">
        <f t="shared" ca="1" si="20"/>
        <v>0.24</v>
      </c>
      <c r="Z67" s="698" t="str">
        <f t="shared" ca="1" si="21"/>
        <v>OK</v>
      </c>
    </row>
    <row r="68" spans="1:26" ht="13.95" customHeight="1">
      <c r="A68" s="689">
        <f t="shared" si="22"/>
        <v>13</v>
      </c>
      <c r="B68" s="690" t="str" cm="1">
        <f t="array" aca="1" ref="B68" ca="1">INDEX($B$19:$B$30,$U68)</f>
        <v>MARS</v>
      </c>
      <c r="C68" s="691" cm="1">
        <f t="array" aca="1" ref="C68" ca="1">_xlfn.LET(_xlpm.w,INDEX(C$19:C$30,$U68),_xlpm.tot,SUMPRODUCT(C$19:C$30,$T$19:$T$30),_xlpm.n,C$14,_xlpm.cum,SUMPRODUCT((ROW($C$19:$C$30)-18&lt;$U68)*C$19:C$30*$T$19:$T$30)+$V68*_xlpm.w,IF(OR(_xlpm.n="",_xlpm.n=0,_xlpm.tot=0,_xlpm.w=0),0,ROUND(_xlpm.cum/_xlpm.tot*_xlpm.n,0)-ROUND((_xlpm.cum-_xlpm.w)/_xlpm.tot*_xlpm.n,0)))</f>
        <v>0</v>
      </c>
      <c r="D68" s="691" cm="1">
        <f t="array" aca="1" ref="D68" ca="1">_xlfn.LET(_xlpm.w,INDEX(D$19:D$30,$U68),_xlpm.tot,SUMPRODUCT(D$19:D$30,$T$19:$T$30),_xlpm.n,D$14,_xlpm.cum,SUMPRODUCT((ROW($C$19:$C$30)-18&lt;$U68)*D$19:D$30*$T$19:$T$30)+$V68*_xlpm.w,IF(OR(_xlpm.n="",_xlpm.n=0,_xlpm.tot=0,_xlpm.w=0),0,ROUND(_xlpm.cum/_xlpm.tot*_xlpm.n,0)-ROUND((_xlpm.cum-_xlpm.w)/_xlpm.tot*_xlpm.n,0)))</f>
        <v>0</v>
      </c>
      <c r="E68" s="691" cm="1">
        <f t="array" aca="1" ref="E68" ca="1">_xlfn.LET(_xlpm.w,INDEX(E$19:E$30,$U68),_xlpm.tot,SUMPRODUCT(E$19:E$30,$T$19:$T$30),_xlpm.n,E$14,_xlpm.cum,SUMPRODUCT((ROW($C$19:$C$30)-18&lt;$U68)*E$19:E$30*$T$19:$T$30)+$V68*_xlpm.w,IF(OR(_xlpm.n="",_xlpm.n=0,_xlpm.tot=0,_xlpm.w=0),0,ROUND(_xlpm.cum/_xlpm.tot*_xlpm.n,0)-ROUND((_xlpm.cum-_xlpm.w)/_xlpm.tot*_xlpm.n,0)))</f>
        <v>0</v>
      </c>
      <c r="F68" s="691" cm="1">
        <f t="array" aca="1" ref="F68" ca="1">_xlfn.LET(_xlpm.w,INDEX(F$19:F$30,$U68),_xlpm.tot,SUMPRODUCT(F$19:F$30,$T$19:$T$30),_xlpm.n,F$14,_xlpm.cum,SUMPRODUCT((ROW($C$19:$C$30)-18&lt;$U68)*F$19:F$30*$T$19:$T$30)+$V68*_xlpm.w,IF(OR(_xlpm.n="",_xlpm.n=0,_xlpm.tot=0,_xlpm.w=0),0,ROUND(_xlpm.cum/_xlpm.tot*_xlpm.n,0)-ROUND((_xlpm.cum-_xlpm.w)/_xlpm.tot*_xlpm.n,0)))</f>
        <v>1</v>
      </c>
      <c r="G68" s="691" cm="1">
        <f t="array" aca="1" ref="G68" ca="1">_xlfn.LET(_xlpm.w,INDEX(G$19:G$30,$U68),_xlpm.tot,SUMPRODUCT(G$19:G$30,$T$19:$T$30),_xlpm.n,G$14,_xlpm.cum,SUMPRODUCT((ROW($C$19:$C$30)-18&lt;$U68)*G$19:G$30*$T$19:$T$30)+$V68*_xlpm.w,IF(OR(_xlpm.n="",_xlpm.n=0,_xlpm.tot=0,_xlpm.w=0),0,ROUND(_xlpm.cum/_xlpm.tot*_xlpm.n,0)-ROUND((_xlpm.cum-_xlpm.w)/_xlpm.tot*_xlpm.n,0)))</f>
        <v>0</v>
      </c>
      <c r="H68" s="691" cm="1">
        <f t="array" aca="1" ref="H68" ca="1">_xlfn.LET(_xlpm.w,INDEX(H$19:H$30,$U68),_xlpm.tot,SUMPRODUCT(H$19:H$30,$T$19:$T$30),_xlpm.n,H$14,_xlpm.cum,SUMPRODUCT((ROW($C$19:$C$30)-18&lt;$U68)*H$19:H$30*$T$19:$T$30)+$V68*_xlpm.w,IF(OR(_xlpm.n="",_xlpm.n=0,_xlpm.tot=0,_xlpm.w=0),0,ROUND(_xlpm.cum/_xlpm.tot*_xlpm.n,0)-ROUND((_xlpm.cum-_xlpm.w)/_xlpm.tot*_xlpm.n,0)))</f>
        <v>0</v>
      </c>
      <c r="I68" s="691" cm="1">
        <f t="array" aca="1" ref="I68" ca="1">_xlfn.LET(_xlpm.w,INDEX(I$19:I$30,$U68),_xlpm.tot,SUMPRODUCT(I$19:I$30,$T$19:$T$30),_xlpm.n,I$14,_xlpm.cum,SUMPRODUCT((ROW($C$19:$C$30)-18&lt;$U68)*I$19:I$30*$T$19:$T$30)+$V68*_xlpm.w,IF(OR(_xlpm.n="",_xlpm.n=0,_xlpm.tot=0,_xlpm.w=0),0,ROUND(_xlpm.cum/_xlpm.tot*_xlpm.n,0)-ROUND((_xlpm.cum-_xlpm.w)/_xlpm.tot*_xlpm.n,0)))</f>
        <v>0</v>
      </c>
      <c r="J68" s="691" cm="1">
        <f t="array" aca="1" ref="J68" ca="1">_xlfn.LET(_xlpm.w,INDEX(J$19:J$30,$U68),_xlpm.tot,SUMPRODUCT(J$19:J$30,$T$19:$T$30),_xlpm.n,J$14,_xlpm.cum,SUMPRODUCT((ROW($C$19:$C$30)-18&lt;$U68)*J$19:J$30*$T$19:$T$30)+$V68*_xlpm.w,IF(OR(_xlpm.n="",_xlpm.n=0,_xlpm.tot=0,_xlpm.w=0),0,ROUND(_xlpm.cum/_xlpm.tot*_xlpm.n,0)-ROUND((_xlpm.cum-_xlpm.w)/_xlpm.tot*_xlpm.n,0)))</f>
        <v>0</v>
      </c>
      <c r="K68" s="691" cm="1">
        <f t="array" aca="1" ref="K68" ca="1">_xlfn.LET(_xlpm.w,INDEX(K$19:K$30,$U68),_xlpm.tot,SUMPRODUCT(K$19:K$30,$T$19:$T$30),_xlpm.n,K$14,_xlpm.cum,SUMPRODUCT((ROW($C$19:$C$30)-18&lt;$U68)*K$19:K$30*$T$19:$T$30)+$V68*_xlpm.w,IF(OR(_xlpm.n="",_xlpm.n=0,_xlpm.tot=0,_xlpm.w=0),0,ROUND(_xlpm.cum/_xlpm.tot*_xlpm.n,0)-ROUND((_xlpm.cum-_xlpm.w)/_xlpm.tot*_xlpm.n,0)))</f>
        <v>0</v>
      </c>
      <c r="L68" s="691" cm="1">
        <f t="array" aca="1" ref="L68" ca="1">_xlfn.LET(_xlpm.w,INDEX(L$19:L$30,$U68),_xlpm.tot,SUMPRODUCT(L$19:L$30,$T$19:$T$30),_xlpm.n,L$14,_xlpm.cum,SUMPRODUCT((ROW($C$19:$C$30)-18&lt;$U68)*L$19:L$30*$T$19:$T$30)+$V68*_xlpm.w,IF(OR(_xlpm.n="",_xlpm.n=0,_xlpm.tot=0,_xlpm.w=0),0,ROUND(_xlpm.cum/_xlpm.tot*_xlpm.n,0)-ROUND((_xlpm.cum-_xlpm.w)/_xlpm.tot*_xlpm.n,0)))</f>
        <v>0</v>
      </c>
      <c r="M68" s="691" cm="1">
        <f t="array" aca="1" ref="M68" ca="1">_xlfn.LET(_xlpm.w,INDEX(M$19:M$30,$U68),_xlpm.tot,SUMPRODUCT(M$19:M$30,$T$19:$T$30),_xlpm.n,M$14,_xlpm.cum,SUMPRODUCT((ROW($C$19:$C$30)-18&lt;$U68)*M$19:M$30*$T$19:$T$30)+$V68*_xlpm.w,IF(OR(_xlpm.n="",_xlpm.n=0,_xlpm.tot=0,_xlpm.w=0),0,ROUND(_xlpm.cum/_xlpm.tot*_xlpm.n,0)-ROUND((_xlpm.cum-_xlpm.w)/_xlpm.tot*_xlpm.n,0)))</f>
        <v>0</v>
      </c>
      <c r="N68" s="691" cm="1">
        <f t="array" aca="1" ref="N68" ca="1">_xlfn.LET(_xlpm.w,INDEX(N$19:N$30,$U68),_xlpm.tot,SUMPRODUCT(N$19:N$30,$T$19:$T$30),_xlpm.n,N$14,_xlpm.cum,SUMPRODUCT((ROW($C$19:$C$30)-18&lt;$U68)*N$19:N$30*$T$19:$T$30)+$V68*_xlpm.w,IF(OR(_xlpm.n="",_xlpm.n=0,_xlpm.tot=0,_xlpm.w=0),0,ROUND(_xlpm.cum/_xlpm.tot*_xlpm.n,0)-ROUND((_xlpm.cum-_xlpm.w)/_xlpm.tot*_xlpm.n,0)))</f>
        <v>0</v>
      </c>
      <c r="O68" s="691" cm="1">
        <f t="array" aca="1" ref="O68" ca="1">_xlfn.LET(_xlpm.w,INDEX(O$19:O$30,$U68),_xlpm.tot,SUMPRODUCT(O$19:O$30,$T$19:$T$30),_xlpm.n,O$14,_xlpm.cum,SUMPRODUCT((ROW($C$19:$C$30)-18&lt;$U68)*O$19:O$30*$T$19:$T$30)+$V68*_xlpm.w,IF(OR(_xlpm.n="",_xlpm.n=0,_xlpm.tot=0,_xlpm.w=0),0,ROUND(_xlpm.cum/_xlpm.tot*_xlpm.n,0)-ROUND((_xlpm.cum-_xlpm.w)/_xlpm.tot*_xlpm.n,0)))</f>
        <v>0</v>
      </c>
      <c r="P68" s="691" cm="1">
        <f t="array" aca="1" ref="P68" ca="1">_xlfn.LET(_xlpm.w,INDEX(P$19:P$30,$U68),_xlpm.tot,SUMPRODUCT(P$19:P$30,$T$19:$T$30),_xlpm.n,P$14,_xlpm.cum,SUMPRODUCT((ROW($C$19:$C$30)-18&lt;$U68)*P$19:P$30*$T$19:$T$30)+$V68*_xlpm.w,IF(OR(_xlpm.n="",_xlpm.n=0,_xlpm.tot=0,_xlpm.w=0),0,ROUND(_xlpm.cum/_xlpm.tot*_xlpm.n,0)-ROUND((_xlpm.cum-_xlpm.w)/_xlpm.tot*_xlpm.n,0)))</f>
        <v>0</v>
      </c>
      <c r="Q68" s="691" cm="1">
        <f t="array" aca="1" ref="Q68" ca="1">_xlfn.LET(_xlpm.w,INDEX(Q$19:Q$30,$U68),_xlpm.tot,SUMPRODUCT(Q$19:Q$30,$T$19:$T$30),_xlpm.n,Q$14,_xlpm.cum,SUMPRODUCT((ROW($C$19:$C$30)-18&lt;$U68)*Q$19:Q$30*$T$19:$T$30)+$V68*_xlpm.w,IF(OR(_xlpm.n="",_xlpm.n=0,_xlpm.tot=0,_xlpm.w=0),0,ROUND(_xlpm.cum/_xlpm.tot*_xlpm.n,0)-ROUND((_xlpm.cum-_xlpm.w)/_xlpm.tot*_xlpm.n,0)))</f>
        <v>0</v>
      </c>
      <c r="R68" s="691" cm="1">
        <f t="array" aca="1" ref="R68" ca="1">_xlfn.LET(_xlpm.w,INDEX(R$19:R$30,$U68),_xlpm.tot,SUMPRODUCT(R$19:R$30,$T$19:$T$30),_xlpm.n,R$14,_xlpm.cum,SUMPRODUCT((ROW($C$19:$C$30)-18&lt;$U68)*R$19:R$30*$T$19:$T$30)+$V68*_xlpm.w,IF(OR(_xlpm.n="",_xlpm.n=0,_xlpm.tot=0,_xlpm.w=0),0,ROUND(_xlpm.cum/_xlpm.tot*_xlpm.n,0)-ROUND((_xlpm.cum-_xlpm.w)/_xlpm.tot*_xlpm.n,0)))</f>
        <v>0</v>
      </c>
      <c r="S68" s="692">
        <f t="shared" ca="1" si="16"/>
        <v>1</v>
      </c>
      <c r="T68" s="693">
        <f t="shared" ca="1" si="17"/>
        <v>46107</v>
      </c>
      <c r="U68" s="694">
        <f t="shared" ca="1" si="18"/>
        <v>3</v>
      </c>
      <c r="V68" s="694">
        <f ca="1">COUNTIFS($U$56:$U68,$U68)</f>
        <v>5</v>
      </c>
      <c r="W68" s="695">
        <f t="shared" ca="1" si="19"/>
        <v>4.8</v>
      </c>
      <c r="X68" s="696" cm="1">
        <f t="array" aca="1" ref="X68" ca="1">INDEX($U$19:$U$30,$U68)</f>
        <v>20</v>
      </c>
      <c r="Y68" s="697">
        <f t="shared" ca="1" si="20"/>
        <v>0.24</v>
      </c>
      <c r="Z68" s="698" t="str">
        <f t="shared" ca="1" si="21"/>
        <v>OK</v>
      </c>
    </row>
    <row r="69" spans="1:26" ht="13.95" customHeight="1">
      <c r="A69" s="689">
        <f t="shared" si="22"/>
        <v>14</v>
      </c>
      <c r="B69" s="690" t="str" cm="1">
        <f t="array" aca="1" ref="B69" ca="1">INDEX($B$19:$B$30,$U69)</f>
        <v>AVRIL</v>
      </c>
      <c r="C69" s="691" cm="1">
        <f t="array" aca="1" ref="C69" ca="1">_xlfn.LET(_xlpm.w,INDEX(C$19:C$30,$U69),_xlpm.tot,SUMPRODUCT(C$19:C$30,$T$19:$T$30),_xlpm.n,C$14,_xlpm.cum,SUMPRODUCT((ROW($C$19:$C$30)-18&lt;$U69)*C$19:C$30*$T$19:$T$30)+$V69*_xlpm.w,IF(OR(_xlpm.n="",_xlpm.n=0,_xlpm.tot=0,_xlpm.w=0),0,ROUND(_xlpm.cum/_xlpm.tot*_xlpm.n,0)-ROUND((_xlpm.cum-_xlpm.w)/_xlpm.tot*_xlpm.n,0)))</f>
        <v>0</v>
      </c>
      <c r="D69" s="691" cm="1">
        <f t="array" aca="1" ref="D69" ca="1">_xlfn.LET(_xlpm.w,INDEX(D$19:D$30,$U69),_xlpm.tot,SUMPRODUCT(D$19:D$30,$T$19:$T$30),_xlpm.n,D$14,_xlpm.cum,SUMPRODUCT((ROW($C$19:$C$30)-18&lt;$U69)*D$19:D$30*$T$19:$T$30)+$V69*_xlpm.w,IF(OR(_xlpm.n="",_xlpm.n=0,_xlpm.tot=0,_xlpm.w=0),0,ROUND(_xlpm.cum/_xlpm.tot*_xlpm.n,0)-ROUND((_xlpm.cum-_xlpm.w)/_xlpm.tot*_xlpm.n,0)))</f>
        <v>0</v>
      </c>
      <c r="E69" s="691" cm="1">
        <f t="array" aca="1" ref="E69" ca="1">_xlfn.LET(_xlpm.w,INDEX(E$19:E$30,$U69),_xlpm.tot,SUMPRODUCT(E$19:E$30,$T$19:$T$30),_xlpm.n,E$14,_xlpm.cum,SUMPRODUCT((ROW($C$19:$C$30)-18&lt;$U69)*E$19:E$30*$T$19:$T$30)+$V69*_xlpm.w,IF(OR(_xlpm.n="",_xlpm.n=0,_xlpm.tot=0,_xlpm.w=0),0,ROUND(_xlpm.cum/_xlpm.tot*_xlpm.n,0)-ROUND((_xlpm.cum-_xlpm.w)/_xlpm.tot*_xlpm.n,0)))</f>
        <v>0</v>
      </c>
      <c r="F69" s="691" cm="1">
        <f t="array" aca="1" ref="F69" ca="1">_xlfn.LET(_xlpm.w,INDEX(F$19:F$30,$U69),_xlpm.tot,SUMPRODUCT(F$19:F$30,$T$19:$T$30),_xlpm.n,F$14,_xlpm.cum,SUMPRODUCT((ROW($C$19:$C$30)-18&lt;$U69)*F$19:F$30*$T$19:$T$30)+$V69*_xlpm.w,IF(OR(_xlpm.n="",_xlpm.n=0,_xlpm.tot=0,_xlpm.w=0),0,ROUND(_xlpm.cum/_xlpm.tot*_xlpm.n,0)-ROUND((_xlpm.cum-_xlpm.w)/_xlpm.tot*_xlpm.n,0)))</f>
        <v>1</v>
      </c>
      <c r="G69" s="691" cm="1">
        <f t="array" aca="1" ref="G69" ca="1">_xlfn.LET(_xlpm.w,INDEX(G$19:G$30,$U69),_xlpm.tot,SUMPRODUCT(G$19:G$30,$T$19:$T$30),_xlpm.n,G$14,_xlpm.cum,SUMPRODUCT((ROW($C$19:$C$30)-18&lt;$U69)*G$19:G$30*$T$19:$T$30)+$V69*_xlpm.w,IF(OR(_xlpm.n="",_xlpm.n=0,_xlpm.tot=0,_xlpm.w=0),0,ROUND(_xlpm.cum/_xlpm.tot*_xlpm.n,0)-ROUND((_xlpm.cum-_xlpm.w)/_xlpm.tot*_xlpm.n,0)))</f>
        <v>0</v>
      </c>
      <c r="H69" s="691" cm="1">
        <f t="array" aca="1" ref="H69" ca="1">_xlfn.LET(_xlpm.w,INDEX(H$19:H$30,$U69),_xlpm.tot,SUMPRODUCT(H$19:H$30,$T$19:$T$30),_xlpm.n,H$14,_xlpm.cum,SUMPRODUCT((ROW($C$19:$C$30)-18&lt;$U69)*H$19:H$30*$T$19:$T$30)+$V69*_xlpm.w,IF(OR(_xlpm.n="",_xlpm.n=0,_xlpm.tot=0,_xlpm.w=0),0,ROUND(_xlpm.cum/_xlpm.tot*_xlpm.n,0)-ROUND((_xlpm.cum-_xlpm.w)/_xlpm.tot*_xlpm.n,0)))</f>
        <v>0</v>
      </c>
      <c r="I69" s="691" cm="1">
        <f t="array" aca="1" ref="I69" ca="1">_xlfn.LET(_xlpm.w,INDEX(I$19:I$30,$U69),_xlpm.tot,SUMPRODUCT(I$19:I$30,$T$19:$T$30),_xlpm.n,I$14,_xlpm.cum,SUMPRODUCT((ROW($C$19:$C$30)-18&lt;$U69)*I$19:I$30*$T$19:$T$30)+$V69*_xlpm.w,IF(OR(_xlpm.n="",_xlpm.n=0,_xlpm.tot=0,_xlpm.w=0),0,ROUND(_xlpm.cum/_xlpm.tot*_xlpm.n,0)-ROUND((_xlpm.cum-_xlpm.w)/_xlpm.tot*_xlpm.n,0)))</f>
        <v>0</v>
      </c>
      <c r="J69" s="691" cm="1">
        <f t="array" aca="1" ref="J69" ca="1">_xlfn.LET(_xlpm.w,INDEX(J$19:J$30,$U69),_xlpm.tot,SUMPRODUCT(J$19:J$30,$T$19:$T$30),_xlpm.n,J$14,_xlpm.cum,SUMPRODUCT((ROW($C$19:$C$30)-18&lt;$U69)*J$19:J$30*$T$19:$T$30)+$V69*_xlpm.w,IF(OR(_xlpm.n="",_xlpm.n=0,_xlpm.tot=0,_xlpm.w=0),0,ROUND(_xlpm.cum/_xlpm.tot*_xlpm.n,0)-ROUND((_xlpm.cum-_xlpm.w)/_xlpm.tot*_xlpm.n,0)))</f>
        <v>0</v>
      </c>
      <c r="K69" s="691" cm="1">
        <f t="array" aca="1" ref="K69" ca="1">_xlfn.LET(_xlpm.w,INDEX(K$19:K$30,$U69),_xlpm.tot,SUMPRODUCT(K$19:K$30,$T$19:$T$30),_xlpm.n,K$14,_xlpm.cum,SUMPRODUCT((ROW($C$19:$C$30)-18&lt;$U69)*K$19:K$30*$T$19:$T$30)+$V69*_xlpm.w,IF(OR(_xlpm.n="",_xlpm.n=0,_xlpm.tot=0,_xlpm.w=0),0,ROUND(_xlpm.cum/_xlpm.tot*_xlpm.n,0)-ROUND((_xlpm.cum-_xlpm.w)/_xlpm.tot*_xlpm.n,0)))</f>
        <v>0</v>
      </c>
      <c r="L69" s="691" cm="1">
        <f t="array" aca="1" ref="L69" ca="1">_xlfn.LET(_xlpm.w,INDEX(L$19:L$30,$U69),_xlpm.tot,SUMPRODUCT(L$19:L$30,$T$19:$T$30),_xlpm.n,L$14,_xlpm.cum,SUMPRODUCT((ROW($C$19:$C$30)-18&lt;$U69)*L$19:L$30*$T$19:$T$30)+$V69*_xlpm.w,IF(OR(_xlpm.n="",_xlpm.n=0,_xlpm.tot=0,_xlpm.w=0),0,ROUND(_xlpm.cum/_xlpm.tot*_xlpm.n,0)-ROUND((_xlpm.cum-_xlpm.w)/_xlpm.tot*_xlpm.n,0)))</f>
        <v>0</v>
      </c>
      <c r="M69" s="691" cm="1">
        <f t="array" aca="1" ref="M69" ca="1">_xlfn.LET(_xlpm.w,INDEX(M$19:M$30,$U69),_xlpm.tot,SUMPRODUCT(M$19:M$30,$T$19:$T$30),_xlpm.n,M$14,_xlpm.cum,SUMPRODUCT((ROW($C$19:$C$30)-18&lt;$U69)*M$19:M$30*$T$19:$T$30)+$V69*_xlpm.w,IF(OR(_xlpm.n="",_xlpm.n=0,_xlpm.tot=0,_xlpm.w=0),0,ROUND(_xlpm.cum/_xlpm.tot*_xlpm.n,0)-ROUND((_xlpm.cum-_xlpm.w)/_xlpm.tot*_xlpm.n,0)))</f>
        <v>0</v>
      </c>
      <c r="N69" s="691" cm="1">
        <f t="array" aca="1" ref="N69" ca="1">_xlfn.LET(_xlpm.w,INDEX(N$19:N$30,$U69),_xlpm.tot,SUMPRODUCT(N$19:N$30,$T$19:$T$30),_xlpm.n,N$14,_xlpm.cum,SUMPRODUCT((ROW($C$19:$C$30)-18&lt;$U69)*N$19:N$30*$T$19:$T$30)+$V69*_xlpm.w,IF(OR(_xlpm.n="",_xlpm.n=0,_xlpm.tot=0,_xlpm.w=0),0,ROUND(_xlpm.cum/_xlpm.tot*_xlpm.n,0)-ROUND((_xlpm.cum-_xlpm.w)/_xlpm.tot*_xlpm.n,0)))</f>
        <v>0</v>
      </c>
      <c r="O69" s="691" cm="1">
        <f t="array" aca="1" ref="O69" ca="1">_xlfn.LET(_xlpm.w,INDEX(O$19:O$30,$U69),_xlpm.tot,SUMPRODUCT(O$19:O$30,$T$19:$T$30),_xlpm.n,O$14,_xlpm.cum,SUMPRODUCT((ROW($C$19:$C$30)-18&lt;$U69)*O$19:O$30*$T$19:$T$30)+$V69*_xlpm.w,IF(OR(_xlpm.n="",_xlpm.n=0,_xlpm.tot=0,_xlpm.w=0),0,ROUND(_xlpm.cum/_xlpm.tot*_xlpm.n,0)-ROUND((_xlpm.cum-_xlpm.w)/_xlpm.tot*_xlpm.n,0)))</f>
        <v>0</v>
      </c>
      <c r="P69" s="691" cm="1">
        <f t="array" aca="1" ref="P69" ca="1">_xlfn.LET(_xlpm.w,INDEX(P$19:P$30,$U69),_xlpm.tot,SUMPRODUCT(P$19:P$30,$T$19:$T$30),_xlpm.n,P$14,_xlpm.cum,SUMPRODUCT((ROW($C$19:$C$30)-18&lt;$U69)*P$19:P$30*$T$19:$T$30)+$V69*_xlpm.w,IF(OR(_xlpm.n="",_xlpm.n=0,_xlpm.tot=0,_xlpm.w=0),0,ROUND(_xlpm.cum/_xlpm.tot*_xlpm.n,0)-ROUND((_xlpm.cum-_xlpm.w)/_xlpm.tot*_xlpm.n,0)))</f>
        <v>0</v>
      </c>
      <c r="Q69" s="691" cm="1">
        <f t="array" aca="1" ref="Q69" ca="1">_xlfn.LET(_xlpm.w,INDEX(Q$19:Q$30,$U69),_xlpm.tot,SUMPRODUCT(Q$19:Q$30,$T$19:$T$30),_xlpm.n,Q$14,_xlpm.cum,SUMPRODUCT((ROW($C$19:$C$30)-18&lt;$U69)*Q$19:Q$30*$T$19:$T$30)+$V69*_xlpm.w,IF(OR(_xlpm.n="",_xlpm.n=0,_xlpm.tot=0,_xlpm.w=0),0,ROUND(_xlpm.cum/_xlpm.tot*_xlpm.n,0)-ROUND((_xlpm.cum-_xlpm.w)/_xlpm.tot*_xlpm.n,0)))</f>
        <v>0</v>
      </c>
      <c r="R69" s="691" cm="1">
        <f t="array" aca="1" ref="R69" ca="1">_xlfn.LET(_xlpm.w,INDEX(R$19:R$30,$U69),_xlpm.tot,SUMPRODUCT(R$19:R$30,$T$19:$T$30),_xlpm.n,R$14,_xlpm.cum,SUMPRODUCT((ROW($C$19:$C$30)-18&lt;$U69)*R$19:R$30*$T$19:$T$30)+$V69*_xlpm.w,IF(OR(_xlpm.n="",_xlpm.n=0,_xlpm.tot=0,_xlpm.w=0),0,ROUND(_xlpm.cum/_xlpm.tot*_xlpm.n,0)-ROUND((_xlpm.cum-_xlpm.w)/_xlpm.tot*_xlpm.n,0)))</f>
        <v>0</v>
      </c>
      <c r="S69" s="692">
        <f t="shared" ca="1" si="16"/>
        <v>1</v>
      </c>
      <c r="T69" s="693">
        <f t="shared" ca="1" si="17"/>
        <v>46114</v>
      </c>
      <c r="U69" s="694">
        <f t="shared" ca="1" si="18"/>
        <v>4</v>
      </c>
      <c r="V69" s="694">
        <f ca="1">COUNTIFS($U$56:$U69,$U69)</f>
        <v>1</v>
      </c>
      <c r="W69" s="695">
        <f t="shared" ca="1" si="19"/>
        <v>4.8</v>
      </c>
      <c r="X69" s="696" cm="1">
        <f t="array" aca="1" ref="X69" ca="1">INDEX($U$19:$U$30,$U69)</f>
        <v>20</v>
      </c>
      <c r="Y69" s="697">
        <f t="shared" ca="1" si="20"/>
        <v>0.24</v>
      </c>
      <c r="Z69" s="698" t="str">
        <f t="shared" ca="1" si="21"/>
        <v>OK</v>
      </c>
    </row>
    <row r="70" spans="1:26" ht="13.95" customHeight="1">
      <c r="A70" s="689">
        <f t="shared" si="22"/>
        <v>15</v>
      </c>
      <c r="B70" s="690" t="str" cm="1">
        <f t="array" aca="1" ref="B70" ca="1">INDEX($B$19:$B$30,$U70)</f>
        <v>AVRIL</v>
      </c>
      <c r="C70" s="691" cm="1">
        <f t="array" aca="1" ref="C70" ca="1">_xlfn.LET(_xlpm.w,INDEX(C$19:C$30,$U70),_xlpm.tot,SUMPRODUCT(C$19:C$30,$T$19:$T$30),_xlpm.n,C$14,_xlpm.cum,SUMPRODUCT((ROW($C$19:$C$30)-18&lt;$U70)*C$19:C$30*$T$19:$T$30)+$V70*_xlpm.w,IF(OR(_xlpm.n="",_xlpm.n=0,_xlpm.tot=0,_xlpm.w=0),0,ROUND(_xlpm.cum/_xlpm.tot*_xlpm.n,0)-ROUND((_xlpm.cum-_xlpm.w)/_xlpm.tot*_xlpm.n,0)))</f>
        <v>0</v>
      </c>
      <c r="D70" s="691" cm="1">
        <f t="array" aca="1" ref="D70" ca="1">_xlfn.LET(_xlpm.w,INDEX(D$19:D$30,$U70),_xlpm.tot,SUMPRODUCT(D$19:D$30,$T$19:$T$30),_xlpm.n,D$14,_xlpm.cum,SUMPRODUCT((ROW($C$19:$C$30)-18&lt;$U70)*D$19:D$30*$T$19:$T$30)+$V70*_xlpm.w,IF(OR(_xlpm.n="",_xlpm.n=0,_xlpm.tot=0,_xlpm.w=0),0,ROUND(_xlpm.cum/_xlpm.tot*_xlpm.n,0)-ROUND((_xlpm.cum-_xlpm.w)/_xlpm.tot*_xlpm.n,0)))</f>
        <v>0</v>
      </c>
      <c r="E70" s="691" cm="1">
        <f t="array" aca="1" ref="E70" ca="1">_xlfn.LET(_xlpm.w,INDEX(E$19:E$30,$U70),_xlpm.tot,SUMPRODUCT(E$19:E$30,$T$19:$T$30),_xlpm.n,E$14,_xlpm.cum,SUMPRODUCT((ROW($C$19:$C$30)-18&lt;$U70)*E$19:E$30*$T$19:$T$30)+$V70*_xlpm.w,IF(OR(_xlpm.n="",_xlpm.n=0,_xlpm.tot=0,_xlpm.w=0),0,ROUND(_xlpm.cum/_xlpm.tot*_xlpm.n,0)-ROUND((_xlpm.cum-_xlpm.w)/_xlpm.tot*_xlpm.n,0)))</f>
        <v>0</v>
      </c>
      <c r="F70" s="691" cm="1">
        <f t="array" aca="1" ref="F70" ca="1">_xlfn.LET(_xlpm.w,INDEX(F$19:F$30,$U70),_xlpm.tot,SUMPRODUCT(F$19:F$30,$T$19:$T$30),_xlpm.n,F$14,_xlpm.cum,SUMPRODUCT((ROW($C$19:$C$30)-18&lt;$U70)*F$19:F$30*$T$19:$T$30)+$V70*_xlpm.w,IF(OR(_xlpm.n="",_xlpm.n=0,_xlpm.tot=0,_xlpm.w=0),0,ROUND(_xlpm.cum/_xlpm.tot*_xlpm.n,0)-ROUND((_xlpm.cum-_xlpm.w)/_xlpm.tot*_xlpm.n,0)))</f>
        <v>0</v>
      </c>
      <c r="G70" s="691" cm="1">
        <f t="array" aca="1" ref="G70" ca="1">_xlfn.LET(_xlpm.w,INDEX(G$19:G$30,$U70),_xlpm.tot,SUMPRODUCT(G$19:G$30,$T$19:$T$30),_xlpm.n,G$14,_xlpm.cum,SUMPRODUCT((ROW($C$19:$C$30)-18&lt;$U70)*G$19:G$30*$T$19:$T$30)+$V70*_xlpm.w,IF(OR(_xlpm.n="",_xlpm.n=0,_xlpm.tot=0,_xlpm.w=0),0,ROUND(_xlpm.cum/_xlpm.tot*_xlpm.n,0)-ROUND((_xlpm.cum-_xlpm.w)/_xlpm.tot*_xlpm.n,0)))</f>
        <v>1</v>
      </c>
      <c r="H70" s="691" cm="1">
        <f t="array" aca="1" ref="H70" ca="1">_xlfn.LET(_xlpm.w,INDEX(H$19:H$30,$U70),_xlpm.tot,SUMPRODUCT(H$19:H$30,$T$19:$T$30),_xlpm.n,H$14,_xlpm.cum,SUMPRODUCT((ROW($C$19:$C$30)-18&lt;$U70)*H$19:H$30*$T$19:$T$30)+$V70*_xlpm.w,IF(OR(_xlpm.n="",_xlpm.n=0,_xlpm.tot=0,_xlpm.w=0),0,ROUND(_xlpm.cum/_xlpm.tot*_xlpm.n,0)-ROUND((_xlpm.cum-_xlpm.w)/_xlpm.tot*_xlpm.n,0)))</f>
        <v>0</v>
      </c>
      <c r="I70" s="691" cm="1">
        <f t="array" aca="1" ref="I70" ca="1">_xlfn.LET(_xlpm.w,INDEX(I$19:I$30,$U70),_xlpm.tot,SUMPRODUCT(I$19:I$30,$T$19:$T$30),_xlpm.n,I$14,_xlpm.cum,SUMPRODUCT((ROW($C$19:$C$30)-18&lt;$U70)*I$19:I$30*$T$19:$T$30)+$V70*_xlpm.w,IF(OR(_xlpm.n="",_xlpm.n=0,_xlpm.tot=0,_xlpm.w=0),0,ROUND(_xlpm.cum/_xlpm.tot*_xlpm.n,0)-ROUND((_xlpm.cum-_xlpm.w)/_xlpm.tot*_xlpm.n,0)))</f>
        <v>0</v>
      </c>
      <c r="J70" s="691" cm="1">
        <f t="array" aca="1" ref="J70" ca="1">_xlfn.LET(_xlpm.w,INDEX(J$19:J$30,$U70),_xlpm.tot,SUMPRODUCT(J$19:J$30,$T$19:$T$30),_xlpm.n,J$14,_xlpm.cum,SUMPRODUCT((ROW($C$19:$C$30)-18&lt;$U70)*J$19:J$30*$T$19:$T$30)+$V70*_xlpm.w,IF(OR(_xlpm.n="",_xlpm.n=0,_xlpm.tot=0,_xlpm.w=0),0,ROUND(_xlpm.cum/_xlpm.tot*_xlpm.n,0)-ROUND((_xlpm.cum-_xlpm.w)/_xlpm.tot*_xlpm.n,0)))</f>
        <v>0</v>
      </c>
      <c r="K70" s="691" cm="1">
        <f t="array" aca="1" ref="K70" ca="1">_xlfn.LET(_xlpm.w,INDEX(K$19:K$30,$U70),_xlpm.tot,SUMPRODUCT(K$19:K$30,$T$19:$T$30),_xlpm.n,K$14,_xlpm.cum,SUMPRODUCT((ROW($C$19:$C$30)-18&lt;$U70)*K$19:K$30*$T$19:$T$30)+$V70*_xlpm.w,IF(OR(_xlpm.n="",_xlpm.n=0,_xlpm.tot=0,_xlpm.w=0),0,ROUND(_xlpm.cum/_xlpm.tot*_xlpm.n,0)-ROUND((_xlpm.cum-_xlpm.w)/_xlpm.tot*_xlpm.n,0)))</f>
        <v>0</v>
      </c>
      <c r="L70" s="691" cm="1">
        <f t="array" aca="1" ref="L70" ca="1">_xlfn.LET(_xlpm.w,INDEX(L$19:L$30,$U70),_xlpm.tot,SUMPRODUCT(L$19:L$30,$T$19:$T$30),_xlpm.n,L$14,_xlpm.cum,SUMPRODUCT((ROW($C$19:$C$30)-18&lt;$U70)*L$19:L$30*$T$19:$T$30)+$V70*_xlpm.w,IF(OR(_xlpm.n="",_xlpm.n=0,_xlpm.tot=0,_xlpm.w=0),0,ROUND(_xlpm.cum/_xlpm.tot*_xlpm.n,0)-ROUND((_xlpm.cum-_xlpm.w)/_xlpm.tot*_xlpm.n,0)))</f>
        <v>0</v>
      </c>
      <c r="M70" s="691" cm="1">
        <f t="array" aca="1" ref="M70" ca="1">_xlfn.LET(_xlpm.w,INDEX(M$19:M$30,$U70),_xlpm.tot,SUMPRODUCT(M$19:M$30,$T$19:$T$30),_xlpm.n,M$14,_xlpm.cum,SUMPRODUCT((ROW($C$19:$C$30)-18&lt;$U70)*M$19:M$30*$T$19:$T$30)+$V70*_xlpm.w,IF(OR(_xlpm.n="",_xlpm.n=0,_xlpm.tot=0,_xlpm.w=0),0,ROUND(_xlpm.cum/_xlpm.tot*_xlpm.n,0)-ROUND((_xlpm.cum-_xlpm.w)/_xlpm.tot*_xlpm.n,0)))</f>
        <v>0</v>
      </c>
      <c r="N70" s="691" cm="1">
        <f t="array" aca="1" ref="N70" ca="1">_xlfn.LET(_xlpm.w,INDEX(N$19:N$30,$U70),_xlpm.tot,SUMPRODUCT(N$19:N$30,$T$19:$T$30),_xlpm.n,N$14,_xlpm.cum,SUMPRODUCT((ROW($C$19:$C$30)-18&lt;$U70)*N$19:N$30*$T$19:$T$30)+$V70*_xlpm.w,IF(OR(_xlpm.n="",_xlpm.n=0,_xlpm.tot=0,_xlpm.w=0),0,ROUND(_xlpm.cum/_xlpm.tot*_xlpm.n,0)-ROUND((_xlpm.cum-_xlpm.w)/_xlpm.tot*_xlpm.n,0)))</f>
        <v>0</v>
      </c>
      <c r="O70" s="691" cm="1">
        <f t="array" aca="1" ref="O70" ca="1">_xlfn.LET(_xlpm.w,INDEX(O$19:O$30,$U70),_xlpm.tot,SUMPRODUCT(O$19:O$30,$T$19:$T$30),_xlpm.n,O$14,_xlpm.cum,SUMPRODUCT((ROW($C$19:$C$30)-18&lt;$U70)*O$19:O$30*$T$19:$T$30)+$V70*_xlpm.w,IF(OR(_xlpm.n="",_xlpm.n=0,_xlpm.tot=0,_xlpm.w=0),0,ROUND(_xlpm.cum/_xlpm.tot*_xlpm.n,0)-ROUND((_xlpm.cum-_xlpm.w)/_xlpm.tot*_xlpm.n,0)))</f>
        <v>0</v>
      </c>
      <c r="P70" s="691" cm="1">
        <f t="array" aca="1" ref="P70" ca="1">_xlfn.LET(_xlpm.w,INDEX(P$19:P$30,$U70),_xlpm.tot,SUMPRODUCT(P$19:P$30,$T$19:$T$30),_xlpm.n,P$14,_xlpm.cum,SUMPRODUCT((ROW($C$19:$C$30)-18&lt;$U70)*P$19:P$30*$T$19:$T$30)+$V70*_xlpm.w,IF(OR(_xlpm.n="",_xlpm.n=0,_xlpm.tot=0,_xlpm.w=0),0,ROUND(_xlpm.cum/_xlpm.tot*_xlpm.n,0)-ROUND((_xlpm.cum-_xlpm.w)/_xlpm.tot*_xlpm.n,0)))</f>
        <v>0</v>
      </c>
      <c r="Q70" s="691" cm="1">
        <f t="array" aca="1" ref="Q70" ca="1">_xlfn.LET(_xlpm.w,INDEX(Q$19:Q$30,$U70),_xlpm.tot,SUMPRODUCT(Q$19:Q$30,$T$19:$T$30),_xlpm.n,Q$14,_xlpm.cum,SUMPRODUCT((ROW($C$19:$C$30)-18&lt;$U70)*Q$19:Q$30*$T$19:$T$30)+$V70*_xlpm.w,IF(OR(_xlpm.n="",_xlpm.n=0,_xlpm.tot=0,_xlpm.w=0),0,ROUND(_xlpm.cum/_xlpm.tot*_xlpm.n,0)-ROUND((_xlpm.cum-_xlpm.w)/_xlpm.tot*_xlpm.n,0)))</f>
        <v>0</v>
      </c>
      <c r="R70" s="691" cm="1">
        <f t="array" aca="1" ref="R70" ca="1">_xlfn.LET(_xlpm.w,INDEX(R$19:R$30,$U70),_xlpm.tot,SUMPRODUCT(R$19:R$30,$T$19:$T$30),_xlpm.n,R$14,_xlpm.cum,SUMPRODUCT((ROW($C$19:$C$30)-18&lt;$U70)*R$19:R$30*$T$19:$T$30)+$V70*_xlpm.w,IF(OR(_xlpm.n="",_xlpm.n=0,_xlpm.tot=0,_xlpm.w=0),0,ROUND(_xlpm.cum/_xlpm.tot*_xlpm.n,0)-ROUND((_xlpm.cum-_xlpm.w)/_xlpm.tot*_xlpm.n,0)))</f>
        <v>0</v>
      </c>
      <c r="S70" s="692">
        <f t="shared" ca="1" si="16"/>
        <v>1</v>
      </c>
      <c r="T70" s="693">
        <f t="shared" ca="1" si="17"/>
        <v>46121</v>
      </c>
      <c r="U70" s="694">
        <f t="shared" ca="1" si="18"/>
        <v>4</v>
      </c>
      <c r="V70" s="694">
        <f ca="1">COUNTIFS($U$56:$U70,$U70)</f>
        <v>2</v>
      </c>
      <c r="W70" s="695">
        <f t="shared" ca="1" si="19"/>
        <v>4.8</v>
      </c>
      <c r="X70" s="696" cm="1">
        <f t="array" aca="1" ref="X70" ca="1">INDEX($U$19:$U$30,$U70)</f>
        <v>20</v>
      </c>
      <c r="Y70" s="697">
        <f t="shared" ca="1" si="20"/>
        <v>0.24</v>
      </c>
      <c r="Z70" s="698" t="str">
        <f t="shared" ca="1" si="21"/>
        <v>OK</v>
      </c>
    </row>
    <row r="71" spans="1:26" ht="13.95" customHeight="1">
      <c r="A71" s="689">
        <f t="shared" si="22"/>
        <v>16</v>
      </c>
      <c r="B71" s="690" t="str" cm="1">
        <f t="array" aca="1" ref="B71" ca="1">INDEX($B$19:$B$30,$U71)</f>
        <v>AVRIL</v>
      </c>
      <c r="C71" s="691" cm="1">
        <f t="array" aca="1" ref="C71" ca="1">_xlfn.LET(_xlpm.w,INDEX(C$19:C$30,$U71),_xlpm.tot,SUMPRODUCT(C$19:C$30,$T$19:$T$30),_xlpm.n,C$14,_xlpm.cum,SUMPRODUCT((ROW($C$19:$C$30)-18&lt;$U71)*C$19:C$30*$T$19:$T$30)+$V71*_xlpm.w,IF(OR(_xlpm.n="",_xlpm.n=0,_xlpm.tot=0,_xlpm.w=0),0,ROUND(_xlpm.cum/_xlpm.tot*_xlpm.n,0)-ROUND((_xlpm.cum-_xlpm.w)/_xlpm.tot*_xlpm.n,0)))</f>
        <v>0</v>
      </c>
      <c r="D71" s="691" cm="1">
        <f t="array" aca="1" ref="D71" ca="1">_xlfn.LET(_xlpm.w,INDEX(D$19:D$30,$U71),_xlpm.tot,SUMPRODUCT(D$19:D$30,$T$19:$T$30),_xlpm.n,D$14,_xlpm.cum,SUMPRODUCT((ROW($C$19:$C$30)-18&lt;$U71)*D$19:D$30*$T$19:$T$30)+$V71*_xlpm.w,IF(OR(_xlpm.n="",_xlpm.n=0,_xlpm.tot=0,_xlpm.w=0),0,ROUND(_xlpm.cum/_xlpm.tot*_xlpm.n,0)-ROUND((_xlpm.cum-_xlpm.w)/_xlpm.tot*_xlpm.n,0)))</f>
        <v>0</v>
      </c>
      <c r="E71" s="691" cm="1">
        <f t="array" aca="1" ref="E71" ca="1">_xlfn.LET(_xlpm.w,INDEX(E$19:E$30,$U71),_xlpm.tot,SUMPRODUCT(E$19:E$30,$T$19:$T$30),_xlpm.n,E$14,_xlpm.cum,SUMPRODUCT((ROW($C$19:$C$30)-18&lt;$U71)*E$19:E$30*$T$19:$T$30)+$V71*_xlpm.w,IF(OR(_xlpm.n="",_xlpm.n=0,_xlpm.tot=0,_xlpm.w=0),0,ROUND(_xlpm.cum/_xlpm.tot*_xlpm.n,0)-ROUND((_xlpm.cum-_xlpm.w)/_xlpm.tot*_xlpm.n,0)))</f>
        <v>0</v>
      </c>
      <c r="F71" s="691" cm="1">
        <f t="array" aca="1" ref="F71" ca="1">_xlfn.LET(_xlpm.w,INDEX(F$19:F$30,$U71),_xlpm.tot,SUMPRODUCT(F$19:F$30,$T$19:$T$30),_xlpm.n,F$14,_xlpm.cum,SUMPRODUCT((ROW($C$19:$C$30)-18&lt;$U71)*F$19:F$30*$T$19:$T$30)+$V71*_xlpm.w,IF(OR(_xlpm.n="",_xlpm.n=0,_xlpm.tot=0,_xlpm.w=0),0,ROUND(_xlpm.cum/_xlpm.tot*_xlpm.n,0)-ROUND((_xlpm.cum-_xlpm.w)/_xlpm.tot*_xlpm.n,0)))</f>
        <v>1</v>
      </c>
      <c r="G71" s="691" cm="1">
        <f t="array" aca="1" ref="G71" ca="1">_xlfn.LET(_xlpm.w,INDEX(G$19:G$30,$U71),_xlpm.tot,SUMPRODUCT(G$19:G$30,$T$19:$T$30),_xlpm.n,G$14,_xlpm.cum,SUMPRODUCT((ROW($C$19:$C$30)-18&lt;$U71)*G$19:G$30*$T$19:$T$30)+$V71*_xlpm.w,IF(OR(_xlpm.n="",_xlpm.n=0,_xlpm.tot=0,_xlpm.w=0),0,ROUND(_xlpm.cum/_xlpm.tot*_xlpm.n,0)-ROUND((_xlpm.cum-_xlpm.w)/_xlpm.tot*_xlpm.n,0)))</f>
        <v>0</v>
      </c>
      <c r="H71" s="691" cm="1">
        <f t="array" aca="1" ref="H71" ca="1">_xlfn.LET(_xlpm.w,INDEX(H$19:H$30,$U71),_xlpm.tot,SUMPRODUCT(H$19:H$30,$T$19:$T$30),_xlpm.n,H$14,_xlpm.cum,SUMPRODUCT((ROW($C$19:$C$30)-18&lt;$U71)*H$19:H$30*$T$19:$T$30)+$V71*_xlpm.w,IF(OR(_xlpm.n="",_xlpm.n=0,_xlpm.tot=0,_xlpm.w=0),0,ROUND(_xlpm.cum/_xlpm.tot*_xlpm.n,0)-ROUND((_xlpm.cum-_xlpm.w)/_xlpm.tot*_xlpm.n,0)))</f>
        <v>0</v>
      </c>
      <c r="I71" s="691" cm="1">
        <f t="array" aca="1" ref="I71" ca="1">_xlfn.LET(_xlpm.w,INDEX(I$19:I$30,$U71),_xlpm.tot,SUMPRODUCT(I$19:I$30,$T$19:$T$30),_xlpm.n,I$14,_xlpm.cum,SUMPRODUCT((ROW($C$19:$C$30)-18&lt;$U71)*I$19:I$30*$T$19:$T$30)+$V71*_xlpm.w,IF(OR(_xlpm.n="",_xlpm.n=0,_xlpm.tot=0,_xlpm.w=0),0,ROUND(_xlpm.cum/_xlpm.tot*_xlpm.n,0)-ROUND((_xlpm.cum-_xlpm.w)/_xlpm.tot*_xlpm.n,0)))</f>
        <v>0</v>
      </c>
      <c r="J71" s="691" cm="1">
        <f t="array" aca="1" ref="J71" ca="1">_xlfn.LET(_xlpm.w,INDEX(J$19:J$30,$U71),_xlpm.tot,SUMPRODUCT(J$19:J$30,$T$19:$T$30),_xlpm.n,J$14,_xlpm.cum,SUMPRODUCT((ROW($C$19:$C$30)-18&lt;$U71)*J$19:J$30*$T$19:$T$30)+$V71*_xlpm.w,IF(OR(_xlpm.n="",_xlpm.n=0,_xlpm.tot=0,_xlpm.w=0),0,ROUND(_xlpm.cum/_xlpm.tot*_xlpm.n,0)-ROUND((_xlpm.cum-_xlpm.w)/_xlpm.tot*_xlpm.n,0)))</f>
        <v>0</v>
      </c>
      <c r="K71" s="691" cm="1">
        <f t="array" aca="1" ref="K71" ca="1">_xlfn.LET(_xlpm.w,INDEX(K$19:K$30,$U71),_xlpm.tot,SUMPRODUCT(K$19:K$30,$T$19:$T$30),_xlpm.n,K$14,_xlpm.cum,SUMPRODUCT((ROW($C$19:$C$30)-18&lt;$U71)*K$19:K$30*$T$19:$T$30)+$V71*_xlpm.w,IF(OR(_xlpm.n="",_xlpm.n=0,_xlpm.tot=0,_xlpm.w=0),0,ROUND(_xlpm.cum/_xlpm.tot*_xlpm.n,0)-ROUND((_xlpm.cum-_xlpm.w)/_xlpm.tot*_xlpm.n,0)))</f>
        <v>0</v>
      </c>
      <c r="L71" s="691" cm="1">
        <f t="array" aca="1" ref="L71" ca="1">_xlfn.LET(_xlpm.w,INDEX(L$19:L$30,$U71),_xlpm.tot,SUMPRODUCT(L$19:L$30,$T$19:$T$30),_xlpm.n,L$14,_xlpm.cum,SUMPRODUCT((ROW($C$19:$C$30)-18&lt;$U71)*L$19:L$30*$T$19:$T$30)+$V71*_xlpm.w,IF(OR(_xlpm.n="",_xlpm.n=0,_xlpm.tot=0,_xlpm.w=0),0,ROUND(_xlpm.cum/_xlpm.tot*_xlpm.n,0)-ROUND((_xlpm.cum-_xlpm.w)/_xlpm.tot*_xlpm.n,0)))</f>
        <v>0</v>
      </c>
      <c r="M71" s="691" cm="1">
        <f t="array" aca="1" ref="M71" ca="1">_xlfn.LET(_xlpm.w,INDEX(M$19:M$30,$U71),_xlpm.tot,SUMPRODUCT(M$19:M$30,$T$19:$T$30),_xlpm.n,M$14,_xlpm.cum,SUMPRODUCT((ROW($C$19:$C$30)-18&lt;$U71)*M$19:M$30*$T$19:$T$30)+$V71*_xlpm.w,IF(OR(_xlpm.n="",_xlpm.n=0,_xlpm.tot=0,_xlpm.w=0),0,ROUND(_xlpm.cum/_xlpm.tot*_xlpm.n,0)-ROUND((_xlpm.cum-_xlpm.w)/_xlpm.tot*_xlpm.n,0)))</f>
        <v>0</v>
      </c>
      <c r="N71" s="691" cm="1">
        <f t="array" aca="1" ref="N71" ca="1">_xlfn.LET(_xlpm.w,INDEX(N$19:N$30,$U71),_xlpm.tot,SUMPRODUCT(N$19:N$30,$T$19:$T$30),_xlpm.n,N$14,_xlpm.cum,SUMPRODUCT((ROW($C$19:$C$30)-18&lt;$U71)*N$19:N$30*$T$19:$T$30)+$V71*_xlpm.w,IF(OR(_xlpm.n="",_xlpm.n=0,_xlpm.tot=0,_xlpm.w=0),0,ROUND(_xlpm.cum/_xlpm.tot*_xlpm.n,0)-ROUND((_xlpm.cum-_xlpm.w)/_xlpm.tot*_xlpm.n,0)))</f>
        <v>0</v>
      </c>
      <c r="O71" s="691" cm="1">
        <f t="array" aca="1" ref="O71" ca="1">_xlfn.LET(_xlpm.w,INDEX(O$19:O$30,$U71),_xlpm.tot,SUMPRODUCT(O$19:O$30,$T$19:$T$30),_xlpm.n,O$14,_xlpm.cum,SUMPRODUCT((ROW($C$19:$C$30)-18&lt;$U71)*O$19:O$30*$T$19:$T$30)+$V71*_xlpm.w,IF(OR(_xlpm.n="",_xlpm.n=0,_xlpm.tot=0,_xlpm.w=0),0,ROUND(_xlpm.cum/_xlpm.tot*_xlpm.n,0)-ROUND((_xlpm.cum-_xlpm.w)/_xlpm.tot*_xlpm.n,0)))</f>
        <v>0</v>
      </c>
      <c r="P71" s="691" cm="1">
        <f t="array" aca="1" ref="P71" ca="1">_xlfn.LET(_xlpm.w,INDEX(P$19:P$30,$U71),_xlpm.tot,SUMPRODUCT(P$19:P$30,$T$19:$T$30),_xlpm.n,P$14,_xlpm.cum,SUMPRODUCT((ROW($C$19:$C$30)-18&lt;$U71)*P$19:P$30*$T$19:$T$30)+$V71*_xlpm.w,IF(OR(_xlpm.n="",_xlpm.n=0,_xlpm.tot=0,_xlpm.w=0),0,ROUND(_xlpm.cum/_xlpm.tot*_xlpm.n,0)-ROUND((_xlpm.cum-_xlpm.w)/_xlpm.tot*_xlpm.n,0)))</f>
        <v>0</v>
      </c>
      <c r="Q71" s="691" cm="1">
        <f t="array" aca="1" ref="Q71" ca="1">_xlfn.LET(_xlpm.w,INDEX(Q$19:Q$30,$U71),_xlpm.tot,SUMPRODUCT(Q$19:Q$30,$T$19:$T$30),_xlpm.n,Q$14,_xlpm.cum,SUMPRODUCT((ROW($C$19:$C$30)-18&lt;$U71)*Q$19:Q$30*$T$19:$T$30)+$V71*_xlpm.w,IF(OR(_xlpm.n="",_xlpm.n=0,_xlpm.tot=0,_xlpm.w=0),0,ROUND(_xlpm.cum/_xlpm.tot*_xlpm.n,0)-ROUND((_xlpm.cum-_xlpm.w)/_xlpm.tot*_xlpm.n,0)))</f>
        <v>0</v>
      </c>
      <c r="R71" s="691" cm="1">
        <f t="array" aca="1" ref="R71" ca="1">_xlfn.LET(_xlpm.w,INDEX(R$19:R$30,$U71),_xlpm.tot,SUMPRODUCT(R$19:R$30,$T$19:$T$30),_xlpm.n,R$14,_xlpm.cum,SUMPRODUCT((ROW($C$19:$C$30)-18&lt;$U71)*R$19:R$30*$T$19:$T$30)+$V71*_xlpm.w,IF(OR(_xlpm.n="",_xlpm.n=0,_xlpm.tot=0,_xlpm.w=0),0,ROUND(_xlpm.cum/_xlpm.tot*_xlpm.n,0)-ROUND((_xlpm.cum-_xlpm.w)/_xlpm.tot*_xlpm.n,0)))</f>
        <v>0</v>
      </c>
      <c r="S71" s="692">
        <f t="shared" ca="1" si="16"/>
        <v>1</v>
      </c>
      <c r="T71" s="693">
        <f t="shared" ca="1" si="17"/>
        <v>46128</v>
      </c>
      <c r="U71" s="694">
        <f t="shared" ca="1" si="18"/>
        <v>4</v>
      </c>
      <c r="V71" s="694">
        <f ca="1">COUNTIFS($U$56:$U71,$U71)</f>
        <v>3</v>
      </c>
      <c r="W71" s="695">
        <f t="shared" ca="1" si="19"/>
        <v>4.8</v>
      </c>
      <c r="X71" s="696" cm="1">
        <f t="array" aca="1" ref="X71" ca="1">INDEX($U$19:$U$30,$U71)</f>
        <v>20</v>
      </c>
      <c r="Y71" s="697">
        <f t="shared" ca="1" si="20"/>
        <v>0.24</v>
      </c>
      <c r="Z71" s="698" t="str">
        <f t="shared" ca="1" si="21"/>
        <v>OK</v>
      </c>
    </row>
    <row r="72" spans="1:26" ht="13.95" customHeight="1">
      <c r="A72" s="689">
        <f t="shared" si="22"/>
        <v>17</v>
      </c>
      <c r="B72" s="690" t="str" cm="1">
        <f t="array" aca="1" ref="B72" ca="1">INDEX($B$19:$B$30,$U72)</f>
        <v>AVRIL</v>
      </c>
      <c r="C72" s="691" cm="1">
        <f t="array" aca="1" ref="C72" ca="1">_xlfn.LET(_xlpm.w,INDEX(C$19:C$30,$U72),_xlpm.tot,SUMPRODUCT(C$19:C$30,$T$19:$T$30),_xlpm.n,C$14,_xlpm.cum,SUMPRODUCT((ROW($C$19:$C$30)-18&lt;$U72)*C$19:C$30*$T$19:$T$30)+$V72*_xlpm.w,IF(OR(_xlpm.n="",_xlpm.n=0,_xlpm.tot=0,_xlpm.w=0),0,ROUND(_xlpm.cum/_xlpm.tot*_xlpm.n,0)-ROUND((_xlpm.cum-_xlpm.w)/_xlpm.tot*_xlpm.n,0)))</f>
        <v>0</v>
      </c>
      <c r="D72" s="691" cm="1">
        <f t="array" aca="1" ref="D72" ca="1">_xlfn.LET(_xlpm.w,INDEX(D$19:D$30,$U72),_xlpm.tot,SUMPRODUCT(D$19:D$30,$T$19:$T$30),_xlpm.n,D$14,_xlpm.cum,SUMPRODUCT((ROW($C$19:$C$30)-18&lt;$U72)*D$19:D$30*$T$19:$T$30)+$V72*_xlpm.w,IF(OR(_xlpm.n="",_xlpm.n=0,_xlpm.tot=0,_xlpm.w=0),0,ROUND(_xlpm.cum/_xlpm.tot*_xlpm.n,0)-ROUND((_xlpm.cum-_xlpm.w)/_xlpm.tot*_xlpm.n,0)))</f>
        <v>0</v>
      </c>
      <c r="E72" s="691" cm="1">
        <f t="array" aca="1" ref="E72" ca="1">_xlfn.LET(_xlpm.w,INDEX(E$19:E$30,$U72),_xlpm.tot,SUMPRODUCT(E$19:E$30,$T$19:$T$30),_xlpm.n,E$14,_xlpm.cum,SUMPRODUCT((ROW($C$19:$C$30)-18&lt;$U72)*E$19:E$30*$T$19:$T$30)+$V72*_xlpm.w,IF(OR(_xlpm.n="",_xlpm.n=0,_xlpm.tot=0,_xlpm.w=0),0,ROUND(_xlpm.cum/_xlpm.tot*_xlpm.n,0)-ROUND((_xlpm.cum-_xlpm.w)/_xlpm.tot*_xlpm.n,0)))</f>
        <v>0</v>
      </c>
      <c r="F72" s="691" cm="1">
        <f t="array" aca="1" ref="F72" ca="1">_xlfn.LET(_xlpm.w,INDEX(F$19:F$30,$U72),_xlpm.tot,SUMPRODUCT(F$19:F$30,$T$19:$T$30),_xlpm.n,F$14,_xlpm.cum,SUMPRODUCT((ROW($C$19:$C$30)-18&lt;$U72)*F$19:F$30*$T$19:$T$30)+$V72*_xlpm.w,IF(OR(_xlpm.n="",_xlpm.n=0,_xlpm.tot=0,_xlpm.w=0),0,ROUND(_xlpm.cum/_xlpm.tot*_xlpm.n,0)-ROUND((_xlpm.cum-_xlpm.w)/_xlpm.tot*_xlpm.n,0)))</f>
        <v>1</v>
      </c>
      <c r="G72" s="691" cm="1">
        <f t="array" aca="1" ref="G72" ca="1">_xlfn.LET(_xlpm.w,INDEX(G$19:G$30,$U72),_xlpm.tot,SUMPRODUCT(G$19:G$30,$T$19:$T$30),_xlpm.n,G$14,_xlpm.cum,SUMPRODUCT((ROW($C$19:$C$30)-18&lt;$U72)*G$19:G$30*$T$19:$T$30)+$V72*_xlpm.w,IF(OR(_xlpm.n="",_xlpm.n=0,_xlpm.tot=0,_xlpm.w=0),0,ROUND(_xlpm.cum/_xlpm.tot*_xlpm.n,0)-ROUND((_xlpm.cum-_xlpm.w)/_xlpm.tot*_xlpm.n,0)))</f>
        <v>0</v>
      </c>
      <c r="H72" s="691" cm="1">
        <f t="array" aca="1" ref="H72" ca="1">_xlfn.LET(_xlpm.w,INDEX(H$19:H$30,$U72),_xlpm.tot,SUMPRODUCT(H$19:H$30,$T$19:$T$30),_xlpm.n,H$14,_xlpm.cum,SUMPRODUCT((ROW($C$19:$C$30)-18&lt;$U72)*H$19:H$30*$T$19:$T$30)+$V72*_xlpm.w,IF(OR(_xlpm.n="",_xlpm.n=0,_xlpm.tot=0,_xlpm.w=0),0,ROUND(_xlpm.cum/_xlpm.tot*_xlpm.n,0)-ROUND((_xlpm.cum-_xlpm.w)/_xlpm.tot*_xlpm.n,0)))</f>
        <v>0</v>
      </c>
      <c r="I72" s="691" cm="1">
        <f t="array" aca="1" ref="I72" ca="1">_xlfn.LET(_xlpm.w,INDEX(I$19:I$30,$U72),_xlpm.tot,SUMPRODUCT(I$19:I$30,$T$19:$T$30),_xlpm.n,I$14,_xlpm.cum,SUMPRODUCT((ROW($C$19:$C$30)-18&lt;$U72)*I$19:I$30*$T$19:$T$30)+$V72*_xlpm.w,IF(OR(_xlpm.n="",_xlpm.n=0,_xlpm.tot=0,_xlpm.w=0),0,ROUND(_xlpm.cum/_xlpm.tot*_xlpm.n,0)-ROUND((_xlpm.cum-_xlpm.w)/_xlpm.tot*_xlpm.n,0)))</f>
        <v>0</v>
      </c>
      <c r="J72" s="691" cm="1">
        <f t="array" aca="1" ref="J72" ca="1">_xlfn.LET(_xlpm.w,INDEX(J$19:J$30,$U72),_xlpm.tot,SUMPRODUCT(J$19:J$30,$T$19:$T$30),_xlpm.n,J$14,_xlpm.cum,SUMPRODUCT((ROW($C$19:$C$30)-18&lt;$U72)*J$19:J$30*$T$19:$T$30)+$V72*_xlpm.w,IF(OR(_xlpm.n="",_xlpm.n=0,_xlpm.tot=0,_xlpm.w=0),0,ROUND(_xlpm.cum/_xlpm.tot*_xlpm.n,0)-ROUND((_xlpm.cum-_xlpm.w)/_xlpm.tot*_xlpm.n,0)))</f>
        <v>0</v>
      </c>
      <c r="K72" s="691" cm="1">
        <f t="array" aca="1" ref="K72" ca="1">_xlfn.LET(_xlpm.w,INDEX(K$19:K$30,$U72),_xlpm.tot,SUMPRODUCT(K$19:K$30,$T$19:$T$30),_xlpm.n,K$14,_xlpm.cum,SUMPRODUCT((ROW($C$19:$C$30)-18&lt;$U72)*K$19:K$30*$T$19:$T$30)+$V72*_xlpm.w,IF(OR(_xlpm.n="",_xlpm.n=0,_xlpm.tot=0,_xlpm.w=0),0,ROUND(_xlpm.cum/_xlpm.tot*_xlpm.n,0)-ROUND((_xlpm.cum-_xlpm.w)/_xlpm.tot*_xlpm.n,0)))</f>
        <v>0</v>
      </c>
      <c r="L72" s="691" cm="1">
        <f t="array" aca="1" ref="L72" ca="1">_xlfn.LET(_xlpm.w,INDEX(L$19:L$30,$U72),_xlpm.tot,SUMPRODUCT(L$19:L$30,$T$19:$T$30),_xlpm.n,L$14,_xlpm.cum,SUMPRODUCT((ROW($C$19:$C$30)-18&lt;$U72)*L$19:L$30*$T$19:$T$30)+$V72*_xlpm.w,IF(OR(_xlpm.n="",_xlpm.n=0,_xlpm.tot=0,_xlpm.w=0),0,ROUND(_xlpm.cum/_xlpm.tot*_xlpm.n,0)-ROUND((_xlpm.cum-_xlpm.w)/_xlpm.tot*_xlpm.n,0)))</f>
        <v>0</v>
      </c>
      <c r="M72" s="691" cm="1">
        <f t="array" aca="1" ref="M72" ca="1">_xlfn.LET(_xlpm.w,INDEX(M$19:M$30,$U72),_xlpm.tot,SUMPRODUCT(M$19:M$30,$T$19:$T$30),_xlpm.n,M$14,_xlpm.cum,SUMPRODUCT((ROW($C$19:$C$30)-18&lt;$U72)*M$19:M$30*$T$19:$T$30)+$V72*_xlpm.w,IF(OR(_xlpm.n="",_xlpm.n=0,_xlpm.tot=0,_xlpm.w=0),0,ROUND(_xlpm.cum/_xlpm.tot*_xlpm.n,0)-ROUND((_xlpm.cum-_xlpm.w)/_xlpm.tot*_xlpm.n,0)))</f>
        <v>0</v>
      </c>
      <c r="N72" s="691" cm="1">
        <f t="array" aca="1" ref="N72" ca="1">_xlfn.LET(_xlpm.w,INDEX(N$19:N$30,$U72),_xlpm.tot,SUMPRODUCT(N$19:N$30,$T$19:$T$30),_xlpm.n,N$14,_xlpm.cum,SUMPRODUCT((ROW($C$19:$C$30)-18&lt;$U72)*N$19:N$30*$T$19:$T$30)+$V72*_xlpm.w,IF(OR(_xlpm.n="",_xlpm.n=0,_xlpm.tot=0,_xlpm.w=0),0,ROUND(_xlpm.cum/_xlpm.tot*_xlpm.n,0)-ROUND((_xlpm.cum-_xlpm.w)/_xlpm.tot*_xlpm.n,0)))</f>
        <v>0</v>
      </c>
      <c r="O72" s="691" cm="1">
        <f t="array" aca="1" ref="O72" ca="1">_xlfn.LET(_xlpm.w,INDEX(O$19:O$30,$U72),_xlpm.tot,SUMPRODUCT(O$19:O$30,$T$19:$T$30),_xlpm.n,O$14,_xlpm.cum,SUMPRODUCT((ROW($C$19:$C$30)-18&lt;$U72)*O$19:O$30*$T$19:$T$30)+$V72*_xlpm.w,IF(OR(_xlpm.n="",_xlpm.n=0,_xlpm.tot=0,_xlpm.w=0),0,ROUND(_xlpm.cum/_xlpm.tot*_xlpm.n,0)-ROUND((_xlpm.cum-_xlpm.w)/_xlpm.tot*_xlpm.n,0)))</f>
        <v>0</v>
      </c>
      <c r="P72" s="691" cm="1">
        <f t="array" aca="1" ref="P72" ca="1">_xlfn.LET(_xlpm.w,INDEX(P$19:P$30,$U72),_xlpm.tot,SUMPRODUCT(P$19:P$30,$T$19:$T$30),_xlpm.n,P$14,_xlpm.cum,SUMPRODUCT((ROW($C$19:$C$30)-18&lt;$U72)*P$19:P$30*$T$19:$T$30)+$V72*_xlpm.w,IF(OR(_xlpm.n="",_xlpm.n=0,_xlpm.tot=0,_xlpm.w=0),0,ROUND(_xlpm.cum/_xlpm.tot*_xlpm.n,0)-ROUND((_xlpm.cum-_xlpm.w)/_xlpm.tot*_xlpm.n,0)))</f>
        <v>0</v>
      </c>
      <c r="Q72" s="691" cm="1">
        <f t="array" aca="1" ref="Q72" ca="1">_xlfn.LET(_xlpm.w,INDEX(Q$19:Q$30,$U72),_xlpm.tot,SUMPRODUCT(Q$19:Q$30,$T$19:$T$30),_xlpm.n,Q$14,_xlpm.cum,SUMPRODUCT((ROW($C$19:$C$30)-18&lt;$U72)*Q$19:Q$30*$T$19:$T$30)+$V72*_xlpm.w,IF(OR(_xlpm.n="",_xlpm.n=0,_xlpm.tot=0,_xlpm.w=0),0,ROUND(_xlpm.cum/_xlpm.tot*_xlpm.n,0)-ROUND((_xlpm.cum-_xlpm.w)/_xlpm.tot*_xlpm.n,0)))</f>
        <v>0</v>
      </c>
      <c r="R72" s="691" cm="1">
        <f t="array" aca="1" ref="R72" ca="1">_xlfn.LET(_xlpm.w,INDEX(R$19:R$30,$U72),_xlpm.tot,SUMPRODUCT(R$19:R$30,$T$19:$T$30),_xlpm.n,R$14,_xlpm.cum,SUMPRODUCT((ROW($C$19:$C$30)-18&lt;$U72)*R$19:R$30*$T$19:$T$30)+$V72*_xlpm.w,IF(OR(_xlpm.n="",_xlpm.n=0,_xlpm.tot=0,_xlpm.w=0),0,ROUND(_xlpm.cum/_xlpm.tot*_xlpm.n,0)-ROUND((_xlpm.cum-_xlpm.w)/_xlpm.tot*_xlpm.n,0)))</f>
        <v>0</v>
      </c>
      <c r="S72" s="692">
        <f t="shared" ca="1" si="16"/>
        <v>1</v>
      </c>
      <c r="T72" s="693">
        <f t="shared" ca="1" si="17"/>
        <v>46135</v>
      </c>
      <c r="U72" s="694">
        <f t="shared" ca="1" si="18"/>
        <v>4</v>
      </c>
      <c r="V72" s="694">
        <f ca="1">COUNTIFS($U$56:$U72,$U72)</f>
        <v>4</v>
      </c>
      <c r="W72" s="695">
        <f t="shared" ca="1" si="19"/>
        <v>4.8</v>
      </c>
      <c r="X72" s="696" cm="1">
        <f t="array" aca="1" ref="X72" ca="1">INDEX($U$19:$U$30,$U72)</f>
        <v>20</v>
      </c>
      <c r="Y72" s="697">
        <f t="shared" ca="1" si="20"/>
        <v>0.24</v>
      </c>
      <c r="Z72" s="698" t="str">
        <f t="shared" ca="1" si="21"/>
        <v>OK</v>
      </c>
    </row>
    <row r="73" spans="1:26" ht="13.95" customHeight="1">
      <c r="A73" s="689">
        <f t="shared" si="22"/>
        <v>18</v>
      </c>
      <c r="B73" s="690" t="str" cm="1">
        <f t="array" aca="1" ref="B73" ca="1">INDEX($B$19:$B$30,$U73)</f>
        <v>MAI</v>
      </c>
      <c r="C73" s="691" cm="1">
        <f t="array" aca="1" ref="C73" ca="1">_xlfn.LET(_xlpm.w,INDEX(C$19:C$30,$U73),_xlpm.tot,SUMPRODUCT(C$19:C$30,$T$19:$T$30),_xlpm.n,C$14,_xlpm.cum,SUMPRODUCT((ROW($C$19:$C$30)-18&lt;$U73)*C$19:C$30*$T$19:$T$30)+$V73*_xlpm.w,IF(OR(_xlpm.n="",_xlpm.n=0,_xlpm.tot=0,_xlpm.w=0),0,ROUND(_xlpm.cum/_xlpm.tot*_xlpm.n,0)-ROUND((_xlpm.cum-_xlpm.w)/_xlpm.tot*_xlpm.n,0)))</f>
        <v>0</v>
      </c>
      <c r="D73" s="691" cm="1">
        <f t="array" aca="1" ref="D73" ca="1">_xlfn.LET(_xlpm.w,INDEX(D$19:D$30,$U73),_xlpm.tot,SUMPRODUCT(D$19:D$30,$T$19:$T$30),_xlpm.n,D$14,_xlpm.cum,SUMPRODUCT((ROW($C$19:$C$30)-18&lt;$U73)*D$19:D$30*$T$19:$T$30)+$V73*_xlpm.w,IF(OR(_xlpm.n="",_xlpm.n=0,_xlpm.tot=0,_xlpm.w=0),0,ROUND(_xlpm.cum/_xlpm.tot*_xlpm.n,0)-ROUND((_xlpm.cum-_xlpm.w)/_xlpm.tot*_xlpm.n,0)))</f>
        <v>0</v>
      </c>
      <c r="E73" s="691" cm="1">
        <f t="array" aca="1" ref="E73" ca="1">_xlfn.LET(_xlpm.w,INDEX(E$19:E$30,$U73),_xlpm.tot,SUMPRODUCT(E$19:E$30,$T$19:$T$30),_xlpm.n,E$14,_xlpm.cum,SUMPRODUCT((ROW($C$19:$C$30)-18&lt;$U73)*E$19:E$30*$T$19:$T$30)+$V73*_xlpm.w,IF(OR(_xlpm.n="",_xlpm.n=0,_xlpm.tot=0,_xlpm.w=0),0,ROUND(_xlpm.cum/_xlpm.tot*_xlpm.n,0)-ROUND((_xlpm.cum-_xlpm.w)/_xlpm.tot*_xlpm.n,0)))</f>
        <v>0</v>
      </c>
      <c r="F73" s="691" cm="1">
        <f t="array" aca="1" ref="F73" ca="1">_xlfn.LET(_xlpm.w,INDEX(F$19:F$30,$U73),_xlpm.tot,SUMPRODUCT(F$19:F$30,$T$19:$T$30),_xlpm.n,F$14,_xlpm.cum,SUMPRODUCT((ROW($C$19:$C$30)-18&lt;$U73)*F$19:F$30*$T$19:$T$30)+$V73*_xlpm.w,IF(OR(_xlpm.n="",_xlpm.n=0,_xlpm.tot=0,_xlpm.w=0),0,ROUND(_xlpm.cum/_xlpm.tot*_xlpm.n,0)-ROUND((_xlpm.cum-_xlpm.w)/_xlpm.tot*_xlpm.n,0)))</f>
        <v>1</v>
      </c>
      <c r="G73" s="691" cm="1">
        <f t="array" aca="1" ref="G73" ca="1">_xlfn.LET(_xlpm.w,INDEX(G$19:G$30,$U73),_xlpm.tot,SUMPRODUCT(G$19:G$30,$T$19:$T$30),_xlpm.n,G$14,_xlpm.cum,SUMPRODUCT((ROW($C$19:$C$30)-18&lt;$U73)*G$19:G$30*$T$19:$T$30)+$V73*_xlpm.w,IF(OR(_xlpm.n="",_xlpm.n=0,_xlpm.tot=0,_xlpm.w=0),0,ROUND(_xlpm.cum/_xlpm.tot*_xlpm.n,0)-ROUND((_xlpm.cum-_xlpm.w)/_xlpm.tot*_xlpm.n,0)))</f>
        <v>0</v>
      </c>
      <c r="H73" s="691" cm="1">
        <f t="array" aca="1" ref="H73" ca="1">_xlfn.LET(_xlpm.w,INDEX(H$19:H$30,$U73),_xlpm.tot,SUMPRODUCT(H$19:H$30,$T$19:$T$30),_xlpm.n,H$14,_xlpm.cum,SUMPRODUCT((ROW($C$19:$C$30)-18&lt;$U73)*H$19:H$30*$T$19:$T$30)+$V73*_xlpm.w,IF(OR(_xlpm.n="",_xlpm.n=0,_xlpm.tot=0,_xlpm.w=0),0,ROUND(_xlpm.cum/_xlpm.tot*_xlpm.n,0)-ROUND((_xlpm.cum-_xlpm.w)/_xlpm.tot*_xlpm.n,0)))</f>
        <v>0</v>
      </c>
      <c r="I73" s="691" cm="1">
        <f t="array" aca="1" ref="I73" ca="1">_xlfn.LET(_xlpm.w,INDEX(I$19:I$30,$U73),_xlpm.tot,SUMPRODUCT(I$19:I$30,$T$19:$T$30),_xlpm.n,I$14,_xlpm.cum,SUMPRODUCT((ROW($C$19:$C$30)-18&lt;$U73)*I$19:I$30*$T$19:$T$30)+$V73*_xlpm.w,IF(OR(_xlpm.n="",_xlpm.n=0,_xlpm.tot=0,_xlpm.w=0),0,ROUND(_xlpm.cum/_xlpm.tot*_xlpm.n,0)-ROUND((_xlpm.cum-_xlpm.w)/_xlpm.tot*_xlpm.n,0)))</f>
        <v>0</v>
      </c>
      <c r="J73" s="691" cm="1">
        <f t="array" aca="1" ref="J73" ca="1">_xlfn.LET(_xlpm.w,INDEX(J$19:J$30,$U73),_xlpm.tot,SUMPRODUCT(J$19:J$30,$T$19:$T$30),_xlpm.n,J$14,_xlpm.cum,SUMPRODUCT((ROW($C$19:$C$30)-18&lt;$U73)*J$19:J$30*$T$19:$T$30)+$V73*_xlpm.w,IF(OR(_xlpm.n="",_xlpm.n=0,_xlpm.tot=0,_xlpm.w=0),0,ROUND(_xlpm.cum/_xlpm.tot*_xlpm.n,0)-ROUND((_xlpm.cum-_xlpm.w)/_xlpm.tot*_xlpm.n,0)))</f>
        <v>0</v>
      </c>
      <c r="K73" s="691" cm="1">
        <f t="array" aca="1" ref="K73" ca="1">_xlfn.LET(_xlpm.w,INDEX(K$19:K$30,$U73),_xlpm.tot,SUMPRODUCT(K$19:K$30,$T$19:$T$30),_xlpm.n,K$14,_xlpm.cum,SUMPRODUCT((ROW($C$19:$C$30)-18&lt;$U73)*K$19:K$30*$T$19:$T$30)+$V73*_xlpm.w,IF(OR(_xlpm.n="",_xlpm.n=0,_xlpm.tot=0,_xlpm.w=0),0,ROUND(_xlpm.cum/_xlpm.tot*_xlpm.n,0)-ROUND((_xlpm.cum-_xlpm.w)/_xlpm.tot*_xlpm.n,0)))</f>
        <v>0</v>
      </c>
      <c r="L73" s="691" cm="1">
        <f t="array" aca="1" ref="L73" ca="1">_xlfn.LET(_xlpm.w,INDEX(L$19:L$30,$U73),_xlpm.tot,SUMPRODUCT(L$19:L$30,$T$19:$T$30),_xlpm.n,L$14,_xlpm.cum,SUMPRODUCT((ROW($C$19:$C$30)-18&lt;$U73)*L$19:L$30*$T$19:$T$30)+$V73*_xlpm.w,IF(OR(_xlpm.n="",_xlpm.n=0,_xlpm.tot=0,_xlpm.w=0),0,ROUND(_xlpm.cum/_xlpm.tot*_xlpm.n,0)-ROUND((_xlpm.cum-_xlpm.w)/_xlpm.tot*_xlpm.n,0)))</f>
        <v>0</v>
      </c>
      <c r="M73" s="691" cm="1">
        <f t="array" aca="1" ref="M73" ca="1">_xlfn.LET(_xlpm.w,INDEX(M$19:M$30,$U73),_xlpm.tot,SUMPRODUCT(M$19:M$30,$T$19:$T$30),_xlpm.n,M$14,_xlpm.cum,SUMPRODUCT((ROW($C$19:$C$30)-18&lt;$U73)*M$19:M$30*$T$19:$T$30)+$V73*_xlpm.w,IF(OR(_xlpm.n="",_xlpm.n=0,_xlpm.tot=0,_xlpm.w=0),0,ROUND(_xlpm.cum/_xlpm.tot*_xlpm.n,0)-ROUND((_xlpm.cum-_xlpm.w)/_xlpm.tot*_xlpm.n,0)))</f>
        <v>0</v>
      </c>
      <c r="N73" s="691" cm="1">
        <f t="array" aca="1" ref="N73" ca="1">_xlfn.LET(_xlpm.w,INDEX(N$19:N$30,$U73),_xlpm.tot,SUMPRODUCT(N$19:N$30,$T$19:$T$30),_xlpm.n,N$14,_xlpm.cum,SUMPRODUCT((ROW($C$19:$C$30)-18&lt;$U73)*N$19:N$30*$T$19:$T$30)+$V73*_xlpm.w,IF(OR(_xlpm.n="",_xlpm.n=0,_xlpm.tot=0,_xlpm.w=0),0,ROUND(_xlpm.cum/_xlpm.tot*_xlpm.n,0)-ROUND((_xlpm.cum-_xlpm.w)/_xlpm.tot*_xlpm.n,0)))</f>
        <v>0</v>
      </c>
      <c r="O73" s="691" cm="1">
        <f t="array" aca="1" ref="O73" ca="1">_xlfn.LET(_xlpm.w,INDEX(O$19:O$30,$U73),_xlpm.tot,SUMPRODUCT(O$19:O$30,$T$19:$T$30),_xlpm.n,O$14,_xlpm.cum,SUMPRODUCT((ROW($C$19:$C$30)-18&lt;$U73)*O$19:O$30*$T$19:$T$30)+$V73*_xlpm.w,IF(OR(_xlpm.n="",_xlpm.n=0,_xlpm.tot=0,_xlpm.w=0),0,ROUND(_xlpm.cum/_xlpm.tot*_xlpm.n,0)-ROUND((_xlpm.cum-_xlpm.w)/_xlpm.tot*_xlpm.n,0)))</f>
        <v>0</v>
      </c>
      <c r="P73" s="691" cm="1">
        <f t="array" aca="1" ref="P73" ca="1">_xlfn.LET(_xlpm.w,INDEX(P$19:P$30,$U73),_xlpm.tot,SUMPRODUCT(P$19:P$30,$T$19:$T$30),_xlpm.n,P$14,_xlpm.cum,SUMPRODUCT((ROW($C$19:$C$30)-18&lt;$U73)*P$19:P$30*$T$19:$T$30)+$V73*_xlpm.w,IF(OR(_xlpm.n="",_xlpm.n=0,_xlpm.tot=0,_xlpm.w=0),0,ROUND(_xlpm.cum/_xlpm.tot*_xlpm.n,0)-ROUND((_xlpm.cum-_xlpm.w)/_xlpm.tot*_xlpm.n,0)))</f>
        <v>0</v>
      </c>
      <c r="Q73" s="691" cm="1">
        <f t="array" aca="1" ref="Q73" ca="1">_xlfn.LET(_xlpm.w,INDEX(Q$19:Q$30,$U73),_xlpm.tot,SUMPRODUCT(Q$19:Q$30,$T$19:$T$30),_xlpm.n,Q$14,_xlpm.cum,SUMPRODUCT((ROW($C$19:$C$30)-18&lt;$U73)*Q$19:Q$30*$T$19:$T$30)+$V73*_xlpm.w,IF(OR(_xlpm.n="",_xlpm.n=0,_xlpm.tot=0,_xlpm.w=0),0,ROUND(_xlpm.cum/_xlpm.tot*_xlpm.n,0)-ROUND((_xlpm.cum-_xlpm.w)/_xlpm.tot*_xlpm.n,0)))</f>
        <v>0</v>
      </c>
      <c r="R73" s="691" cm="1">
        <f t="array" aca="1" ref="R73" ca="1">_xlfn.LET(_xlpm.w,INDEX(R$19:R$30,$U73),_xlpm.tot,SUMPRODUCT(R$19:R$30,$T$19:$T$30),_xlpm.n,R$14,_xlpm.cum,SUMPRODUCT((ROW($C$19:$C$30)-18&lt;$U73)*R$19:R$30*$T$19:$T$30)+$V73*_xlpm.w,IF(OR(_xlpm.n="",_xlpm.n=0,_xlpm.tot=0,_xlpm.w=0),0,ROUND(_xlpm.cum/_xlpm.tot*_xlpm.n,0)-ROUND((_xlpm.cum-_xlpm.w)/_xlpm.tot*_xlpm.n,0)))</f>
        <v>0</v>
      </c>
      <c r="S73" s="692">
        <f t="shared" ca="1" si="16"/>
        <v>1</v>
      </c>
      <c r="T73" s="693">
        <f t="shared" ca="1" si="17"/>
        <v>46142</v>
      </c>
      <c r="U73" s="694">
        <f t="shared" ca="1" si="18"/>
        <v>5</v>
      </c>
      <c r="V73" s="694">
        <f ca="1">COUNTIFS($U$56:$U73,$U73)</f>
        <v>1</v>
      </c>
      <c r="W73" s="695">
        <f t="shared" ca="1" si="19"/>
        <v>4.8</v>
      </c>
      <c r="X73" s="696" cm="1">
        <f t="array" aca="1" ref="X73" ca="1">INDEX($U$19:$U$30,$U73)</f>
        <v>20</v>
      </c>
      <c r="Y73" s="697">
        <f t="shared" ca="1" si="20"/>
        <v>0.24</v>
      </c>
      <c r="Z73" s="698" t="str">
        <f t="shared" ca="1" si="21"/>
        <v>OK</v>
      </c>
    </row>
    <row r="74" spans="1:26" ht="13.95" customHeight="1">
      <c r="A74" s="689">
        <f t="shared" si="22"/>
        <v>19</v>
      </c>
      <c r="B74" s="690" t="str" cm="1">
        <f t="array" aca="1" ref="B74" ca="1">INDEX($B$19:$B$30,$U74)</f>
        <v>MAI</v>
      </c>
      <c r="C74" s="691" cm="1">
        <f t="array" aca="1" ref="C74" ca="1">_xlfn.LET(_xlpm.w,INDEX(C$19:C$30,$U74),_xlpm.tot,SUMPRODUCT(C$19:C$30,$T$19:$T$30),_xlpm.n,C$14,_xlpm.cum,SUMPRODUCT((ROW($C$19:$C$30)-18&lt;$U74)*C$19:C$30*$T$19:$T$30)+$V74*_xlpm.w,IF(OR(_xlpm.n="",_xlpm.n=0,_xlpm.tot=0,_xlpm.w=0),0,ROUND(_xlpm.cum/_xlpm.tot*_xlpm.n,0)-ROUND((_xlpm.cum-_xlpm.w)/_xlpm.tot*_xlpm.n,0)))</f>
        <v>0</v>
      </c>
      <c r="D74" s="691" cm="1">
        <f t="array" aca="1" ref="D74" ca="1">_xlfn.LET(_xlpm.w,INDEX(D$19:D$30,$U74),_xlpm.tot,SUMPRODUCT(D$19:D$30,$T$19:$T$30),_xlpm.n,D$14,_xlpm.cum,SUMPRODUCT((ROW($C$19:$C$30)-18&lt;$U74)*D$19:D$30*$T$19:$T$30)+$V74*_xlpm.w,IF(OR(_xlpm.n="",_xlpm.n=0,_xlpm.tot=0,_xlpm.w=0),0,ROUND(_xlpm.cum/_xlpm.tot*_xlpm.n,0)-ROUND((_xlpm.cum-_xlpm.w)/_xlpm.tot*_xlpm.n,0)))</f>
        <v>0</v>
      </c>
      <c r="E74" s="691" cm="1">
        <f t="array" aca="1" ref="E74" ca="1">_xlfn.LET(_xlpm.w,INDEX(E$19:E$30,$U74),_xlpm.tot,SUMPRODUCT(E$19:E$30,$T$19:$T$30),_xlpm.n,E$14,_xlpm.cum,SUMPRODUCT((ROW($C$19:$C$30)-18&lt;$U74)*E$19:E$30*$T$19:$T$30)+$V74*_xlpm.w,IF(OR(_xlpm.n="",_xlpm.n=0,_xlpm.tot=0,_xlpm.w=0),0,ROUND(_xlpm.cum/_xlpm.tot*_xlpm.n,0)-ROUND((_xlpm.cum-_xlpm.w)/_xlpm.tot*_xlpm.n,0)))</f>
        <v>0</v>
      </c>
      <c r="F74" s="691" cm="1">
        <f t="array" aca="1" ref="F74" ca="1">_xlfn.LET(_xlpm.w,INDEX(F$19:F$30,$U74),_xlpm.tot,SUMPRODUCT(F$19:F$30,$T$19:$T$30),_xlpm.n,F$14,_xlpm.cum,SUMPRODUCT((ROW($C$19:$C$30)-18&lt;$U74)*F$19:F$30*$T$19:$T$30)+$V74*_xlpm.w,IF(OR(_xlpm.n="",_xlpm.n=0,_xlpm.tot=0,_xlpm.w=0),0,ROUND(_xlpm.cum/_xlpm.tot*_xlpm.n,0)-ROUND((_xlpm.cum-_xlpm.w)/_xlpm.tot*_xlpm.n,0)))</f>
        <v>0</v>
      </c>
      <c r="G74" s="691" cm="1">
        <f t="array" aca="1" ref="G74" ca="1">_xlfn.LET(_xlpm.w,INDEX(G$19:G$30,$U74),_xlpm.tot,SUMPRODUCT(G$19:G$30,$T$19:$T$30),_xlpm.n,G$14,_xlpm.cum,SUMPRODUCT((ROW($C$19:$C$30)-18&lt;$U74)*G$19:G$30*$T$19:$T$30)+$V74*_xlpm.w,IF(OR(_xlpm.n="",_xlpm.n=0,_xlpm.tot=0,_xlpm.w=0),0,ROUND(_xlpm.cum/_xlpm.tot*_xlpm.n,0)-ROUND((_xlpm.cum-_xlpm.w)/_xlpm.tot*_xlpm.n,0)))</f>
        <v>0</v>
      </c>
      <c r="H74" s="691" cm="1">
        <f t="array" aca="1" ref="H74" ca="1">_xlfn.LET(_xlpm.w,INDEX(H$19:H$30,$U74),_xlpm.tot,SUMPRODUCT(H$19:H$30,$T$19:$T$30),_xlpm.n,H$14,_xlpm.cum,SUMPRODUCT((ROW($C$19:$C$30)-18&lt;$U74)*H$19:H$30*$T$19:$T$30)+$V74*_xlpm.w,IF(OR(_xlpm.n="",_xlpm.n=0,_xlpm.tot=0,_xlpm.w=0),0,ROUND(_xlpm.cum/_xlpm.tot*_xlpm.n,0)-ROUND((_xlpm.cum-_xlpm.w)/_xlpm.tot*_xlpm.n,0)))</f>
        <v>0</v>
      </c>
      <c r="I74" s="691" cm="1">
        <f t="array" aca="1" ref="I74" ca="1">_xlfn.LET(_xlpm.w,INDEX(I$19:I$30,$U74),_xlpm.tot,SUMPRODUCT(I$19:I$30,$T$19:$T$30),_xlpm.n,I$14,_xlpm.cum,SUMPRODUCT((ROW($C$19:$C$30)-18&lt;$U74)*I$19:I$30*$T$19:$T$30)+$V74*_xlpm.w,IF(OR(_xlpm.n="",_xlpm.n=0,_xlpm.tot=0,_xlpm.w=0),0,ROUND(_xlpm.cum/_xlpm.tot*_xlpm.n,0)-ROUND((_xlpm.cum-_xlpm.w)/_xlpm.tot*_xlpm.n,0)))</f>
        <v>0</v>
      </c>
      <c r="J74" s="691" cm="1">
        <f t="array" aca="1" ref="J74" ca="1">_xlfn.LET(_xlpm.w,INDEX(J$19:J$30,$U74),_xlpm.tot,SUMPRODUCT(J$19:J$30,$T$19:$T$30),_xlpm.n,J$14,_xlpm.cum,SUMPRODUCT((ROW($C$19:$C$30)-18&lt;$U74)*J$19:J$30*$T$19:$T$30)+$V74*_xlpm.w,IF(OR(_xlpm.n="",_xlpm.n=0,_xlpm.tot=0,_xlpm.w=0),0,ROUND(_xlpm.cum/_xlpm.tot*_xlpm.n,0)-ROUND((_xlpm.cum-_xlpm.w)/_xlpm.tot*_xlpm.n,0)))</f>
        <v>0</v>
      </c>
      <c r="K74" s="691" cm="1">
        <f t="array" aca="1" ref="K74" ca="1">_xlfn.LET(_xlpm.w,INDEX(K$19:K$30,$U74),_xlpm.tot,SUMPRODUCT(K$19:K$30,$T$19:$T$30),_xlpm.n,K$14,_xlpm.cum,SUMPRODUCT((ROW($C$19:$C$30)-18&lt;$U74)*K$19:K$30*$T$19:$T$30)+$V74*_xlpm.w,IF(OR(_xlpm.n="",_xlpm.n=0,_xlpm.tot=0,_xlpm.w=0),0,ROUND(_xlpm.cum/_xlpm.tot*_xlpm.n,0)-ROUND((_xlpm.cum-_xlpm.w)/_xlpm.tot*_xlpm.n,0)))</f>
        <v>0</v>
      </c>
      <c r="L74" s="691" cm="1">
        <f t="array" aca="1" ref="L74" ca="1">_xlfn.LET(_xlpm.w,INDEX(L$19:L$30,$U74),_xlpm.tot,SUMPRODUCT(L$19:L$30,$T$19:$T$30),_xlpm.n,L$14,_xlpm.cum,SUMPRODUCT((ROW($C$19:$C$30)-18&lt;$U74)*L$19:L$30*$T$19:$T$30)+$V74*_xlpm.w,IF(OR(_xlpm.n="",_xlpm.n=0,_xlpm.tot=0,_xlpm.w=0),0,ROUND(_xlpm.cum/_xlpm.tot*_xlpm.n,0)-ROUND((_xlpm.cum-_xlpm.w)/_xlpm.tot*_xlpm.n,0)))</f>
        <v>0</v>
      </c>
      <c r="M74" s="691" cm="1">
        <f t="array" aca="1" ref="M74" ca="1">_xlfn.LET(_xlpm.w,INDEX(M$19:M$30,$U74),_xlpm.tot,SUMPRODUCT(M$19:M$30,$T$19:$T$30),_xlpm.n,M$14,_xlpm.cum,SUMPRODUCT((ROW($C$19:$C$30)-18&lt;$U74)*M$19:M$30*$T$19:$T$30)+$V74*_xlpm.w,IF(OR(_xlpm.n="",_xlpm.n=0,_xlpm.tot=0,_xlpm.w=0),0,ROUND(_xlpm.cum/_xlpm.tot*_xlpm.n,0)-ROUND((_xlpm.cum-_xlpm.w)/_xlpm.tot*_xlpm.n,0)))</f>
        <v>0</v>
      </c>
      <c r="N74" s="691" cm="1">
        <f t="array" aca="1" ref="N74" ca="1">_xlfn.LET(_xlpm.w,INDEX(N$19:N$30,$U74),_xlpm.tot,SUMPRODUCT(N$19:N$30,$T$19:$T$30),_xlpm.n,N$14,_xlpm.cum,SUMPRODUCT((ROW($C$19:$C$30)-18&lt;$U74)*N$19:N$30*$T$19:$T$30)+$V74*_xlpm.w,IF(OR(_xlpm.n="",_xlpm.n=0,_xlpm.tot=0,_xlpm.w=0),0,ROUND(_xlpm.cum/_xlpm.tot*_xlpm.n,0)-ROUND((_xlpm.cum-_xlpm.w)/_xlpm.tot*_xlpm.n,0)))</f>
        <v>0</v>
      </c>
      <c r="O74" s="691" cm="1">
        <f t="array" aca="1" ref="O74" ca="1">_xlfn.LET(_xlpm.w,INDEX(O$19:O$30,$U74),_xlpm.tot,SUMPRODUCT(O$19:O$30,$T$19:$T$30),_xlpm.n,O$14,_xlpm.cum,SUMPRODUCT((ROW($C$19:$C$30)-18&lt;$U74)*O$19:O$30*$T$19:$T$30)+$V74*_xlpm.w,IF(OR(_xlpm.n="",_xlpm.n=0,_xlpm.tot=0,_xlpm.w=0),0,ROUND(_xlpm.cum/_xlpm.tot*_xlpm.n,0)-ROUND((_xlpm.cum-_xlpm.w)/_xlpm.tot*_xlpm.n,0)))</f>
        <v>0</v>
      </c>
      <c r="P74" s="691" cm="1">
        <f t="array" aca="1" ref="P74" ca="1">_xlfn.LET(_xlpm.w,INDEX(P$19:P$30,$U74),_xlpm.tot,SUMPRODUCT(P$19:P$30,$T$19:$T$30),_xlpm.n,P$14,_xlpm.cum,SUMPRODUCT((ROW($C$19:$C$30)-18&lt;$U74)*P$19:P$30*$T$19:$T$30)+$V74*_xlpm.w,IF(OR(_xlpm.n="",_xlpm.n=0,_xlpm.tot=0,_xlpm.w=0),0,ROUND(_xlpm.cum/_xlpm.tot*_xlpm.n,0)-ROUND((_xlpm.cum-_xlpm.w)/_xlpm.tot*_xlpm.n,0)))</f>
        <v>0</v>
      </c>
      <c r="Q74" s="691" cm="1">
        <f t="array" aca="1" ref="Q74" ca="1">_xlfn.LET(_xlpm.w,INDEX(Q$19:Q$30,$U74),_xlpm.tot,SUMPRODUCT(Q$19:Q$30,$T$19:$T$30),_xlpm.n,Q$14,_xlpm.cum,SUMPRODUCT((ROW($C$19:$C$30)-18&lt;$U74)*Q$19:Q$30*$T$19:$T$30)+$V74*_xlpm.w,IF(OR(_xlpm.n="",_xlpm.n=0,_xlpm.tot=0,_xlpm.w=0),0,ROUND(_xlpm.cum/_xlpm.tot*_xlpm.n,0)-ROUND((_xlpm.cum-_xlpm.w)/_xlpm.tot*_xlpm.n,0)))</f>
        <v>0</v>
      </c>
      <c r="R74" s="691" cm="1">
        <f t="array" aca="1" ref="R74" ca="1">_xlfn.LET(_xlpm.w,INDEX(R$19:R$30,$U74),_xlpm.tot,SUMPRODUCT(R$19:R$30,$T$19:$T$30),_xlpm.n,R$14,_xlpm.cum,SUMPRODUCT((ROW($C$19:$C$30)-18&lt;$U74)*R$19:R$30*$T$19:$T$30)+$V74*_xlpm.w,IF(OR(_xlpm.n="",_xlpm.n=0,_xlpm.tot=0,_xlpm.w=0),0,ROUND(_xlpm.cum/_xlpm.tot*_xlpm.n,0)-ROUND((_xlpm.cum-_xlpm.w)/_xlpm.tot*_xlpm.n,0)))</f>
        <v>0</v>
      </c>
      <c r="S74" s="692">
        <f t="shared" ca="1" si="16"/>
        <v>0</v>
      </c>
      <c r="T74" s="693">
        <f t="shared" ca="1" si="17"/>
        <v>46149</v>
      </c>
      <c r="U74" s="694">
        <f t="shared" ca="1" si="18"/>
        <v>5</v>
      </c>
      <c r="V74" s="694">
        <f ca="1">COUNTIFS($U$56:$U74,$U74)</f>
        <v>2</v>
      </c>
      <c r="W74" s="695">
        <f t="shared" ca="1" si="19"/>
        <v>0</v>
      </c>
      <c r="X74" s="696" cm="1">
        <f t="array" aca="1" ref="X74" ca="1">INDEX($U$19:$U$30,$U74)</f>
        <v>20</v>
      </c>
      <c r="Y74" s="697">
        <f t="shared" ca="1" si="20"/>
        <v>0</v>
      </c>
      <c r="Z74" s="698" t="str">
        <f t="shared" ca="1" si="21"/>
        <v>OK</v>
      </c>
    </row>
    <row r="75" spans="1:26" ht="13.95" customHeight="1">
      <c r="A75" s="689">
        <f t="shared" si="22"/>
        <v>20</v>
      </c>
      <c r="B75" s="690" t="str" cm="1">
        <f t="array" aca="1" ref="B75" ca="1">INDEX($B$19:$B$30,$U75)</f>
        <v>MAI</v>
      </c>
      <c r="C75" s="691" cm="1">
        <f t="array" aca="1" ref="C75" ca="1">_xlfn.LET(_xlpm.w,INDEX(C$19:C$30,$U75),_xlpm.tot,SUMPRODUCT(C$19:C$30,$T$19:$T$30),_xlpm.n,C$14,_xlpm.cum,SUMPRODUCT((ROW($C$19:$C$30)-18&lt;$U75)*C$19:C$30*$T$19:$T$30)+$V75*_xlpm.w,IF(OR(_xlpm.n="",_xlpm.n=0,_xlpm.tot=0,_xlpm.w=0),0,ROUND(_xlpm.cum/_xlpm.tot*_xlpm.n,0)-ROUND((_xlpm.cum-_xlpm.w)/_xlpm.tot*_xlpm.n,0)))</f>
        <v>0</v>
      </c>
      <c r="D75" s="691" cm="1">
        <f t="array" aca="1" ref="D75" ca="1">_xlfn.LET(_xlpm.w,INDEX(D$19:D$30,$U75),_xlpm.tot,SUMPRODUCT(D$19:D$30,$T$19:$T$30),_xlpm.n,D$14,_xlpm.cum,SUMPRODUCT((ROW($C$19:$C$30)-18&lt;$U75)*D$19:D$30*$T$19:$T$30)+$V75*_xlpm.w,IF(OR(_xlpm.n="",_xlpm.n=0,_xlpm.tot=0,_xlpm.w=0),0,ROUND(_xlpm.cum/_xlpm.tot*_xlpm.n,0)-ROUND((_xlpm.cum-_xlpm.w)/_xlpm.tot*_xlpm.n,0)))</f>
        <v>0</v>
      </c>
      <c r="E75" s="691" cm="1">
        <f t="array" aca="1" ref="E75" ca="1">_xlfn.LET(_xlpm.w,INDEX(E$19:E$30,$U75),_xlpm.tot,SUMPRODUCT(E$19:E$30,$T$19:$T$30),_xlpm.n,E$14,_xlpm.cum,SUMPRODUCT((ROW($C$19:$C$30)-18&lt;$U75)*E$19:E$30*$T$19:$T$30)+$V75*_xlpm.w,IF(OR(_xlpm.n="",_xlpm.n=0,_xlpm.tot=0,_xlpm.w=0),0,ROUND(_xlpm.cum/_xlpm.tot*_xlpm.n,0)-ROUND((_xlpm.cum-_xlpm.w)/_xlpm.tot*_xlpm.n,0)))</f>
        <v>0</v>
      </c>
      <c r="F75" s="691" cm="1">
        <f t="array" aca="1" ref="F75" ca="1">_xlfn.LET(_xlpm.w,INDEX(F$19:F$30,$U75),_xlpm.tot,SUMPRODUCT(F$19:F$30,$T$19:$T$30),_xlpm.n,F$14,_xlpm.cum,SUMPRODUCT((ROW($C$19:$C$30)-18&lt;$U75)*F$19:F$30*$T$19:$T$30)+$V75*_xlpm.w,IF(OR(_xlpm.n="",_xlpm.n=0,_xlpm.tot=0,_xlpm.w=0),0,ROUND(_xlpm.cum/_xlpm.tot*_xlpm.n,0)-ROUND((_xlpm.cum-_xlpm.w)/_xlpm.tot*_xlpm.n,0)))</f>
        <v>1</v>
      </c>
      <c r="G75" s="691" cm="1">
        <f t="array" aca="1" ref="G75" ca="1">_xlfn.LET(_xlpm.w,INDEX(G$19:G$30,$U75),_xlpm.tot,SUMPRODUCT(G$19:G$30,$T$19:$T$30),_xlpm.n,G$14,_xlpm.cum,SUMPRODUCT((ROW($C$19:$C$30)-18&lt;$U75)*G$19:G$30*$T$19:$T$30)+$V75*_xlpm.w,IF(OR(_xlpm.n="",_xlpm.n=0,_xlpm.tot=0,_xlpm.w=0),0,ROUND(_xlpm.cum/_xlpm.tot*_xlpm.n,0)-ROUND((_xlpm.cum-_xlpm.w)/_xlpm.tot*_xlpm.n,0)))</f>
        <v>1</v>
      </c>
      <c r="H75" s="691" cm="1">
        <f t="array" aca="1" ref="H75" ca="1">_xlfn.LET(_xlpm.w,INDEX(H$19:H$30,$U75),_xlpm.tot,SUMPRODUCT(H$19:H$30,$T$19:$T$30),_xlpm.n,H$14,_xlpm.cum,SUMPRODUCT((ROW($C$19:$C$30)-18&lt;$U75)*H$19:H$30*$T$19:$T$30)+$V75*_xlpm.w,IF(OR(_xlpm.n="",_xlpm.n=0,_xlpm.tot=0,_xlpm.w=0),0,ROUND(_xlpm.cum/_xlpm.tot*_xlpm.n,0)-ROUND((_xlpm.cum-_xlpm.w)/_xlpm.tot*_xlpm.n,0)))</f>
        <v>1</v>
      </c>
      <c r="I75" s="691" cm="1">
        <f t="array" aca="1" ref="I75" ca="1">_xlfn.LET(_xlpm.w,INDEX(I$19:I$30,$U75),_xlpm.tot,SUMPRODUCT(I$19:I$30,$T$19:$T$30),_xlpm.n,I$14,_xlpm.cum,SUMPRODUCT((ROW($C$19:$C$30)-18&lt;$U75)*I$19:I$30*$T$19:$T$30)+$V75*_xlpm.w,IF(OR(_xlpm.n="",_xlpm.n=0,_xlpm.tot=0,_xlpm.w=0),0,ROUND(_xlpm.cum/_xlpm.tot*_xlpm.n,0)-ROUND((_xlpm.cum-_xlpm.w)/_xlpm.tot*_xlpm.n,0)))</f>
        <v>0</v>
      </c>
      <c r="J75" s="691" cm="1">
        <f t="array" aca="1" ref="J75" ca="1">_xlfn.LET(_xlpm.w,INDEX(J$19:J$30,$U75),_xlpm.tot,SUMPRODUCT(J$19:J$30,$T$19:$T$30),_xlpm.n,J$14,_xlpm.cum,SUMPRODUCT((ROW($C$19:$C$30)-18&lt;$U75)*J$19:J$30*$T$19:$T$30)+$V75*_xlpm.w,IF(OR(_xlpm.n="",_xlpm.n=0,_xlpm.tot=0,_xlpm.w=0),0,ROUND(_xlpm.cum/_xlpm.tot*_xlpm.n,0)-ROUND((_xlpm.cum-_xlpm.w)/_xlpm.tot*_xlpm.n,0)))</f>
        <v>0</v>
      </c>
      <c r="K75" s="691" cm="1">
        <f t="array" aca="1" ref="K75" ca="1">_xlfn.LET(_xlpm.w,INDEX(K$19:K$30,$U75),_xlpm.tot,SUMPRODUCT(K$19:K$30,$T$19:$T$30),_xlpm.n,K$14,_xlpm.cum,SUMPRODUCT((ROW($C$19:$C$30)-18&lt;$U75)*K$19:K$30*$T$19:$T$30)+$V75*_xlpm.w,IF(OR(_xlpm.n="",_xlpm.n=0,_xlpm.tot=0,_xlpm.w=0),0,ROUND(_xlpm.cum/_xlpm.tot*_xlpm.n,0)-ROUND((_xlpm.cum-_xlpm.w)/_xlpm.tot*_xlpm.n,0)))</f>
        <v>0</v>
      </c>
      <c r="L75" s="691" cm="1">
        <f t="array" aca="1" ref="L75" ca="1">_xlfn.LET(_xlpm.w,INDEX(L$19:L$30,$U75),_xlpm.tot,SUMPRODUCT(L$19:L$30,$T$19:$T$30),_xlpm.n,L$14,_xlpm.cum,SUMPRODUCT((ROW($C$19:$C$30)-18&lt;$U75)*L$19:L$30*$T$19:$T$30)+$V75*_xlpm.w,IF(OR(_xlpm.n="",_xlpm.n=0,_xlpm.tot=0,_xlpm.w=0),0,ROUND(_xlpm.cum/_xlpm.tot*_xlpm.n,0)-ROUND((_xlpm.cum-_xlpm.w)/_xlpm.tot*_xlpm.n,0)))</f>
        <v>0</v>
      </c>
      <c r="M75" s="691" cm="1">
        <f t="array" aca="1" ref="M75" ca="1">_xlfn.LET(_xlpm.w,INDEX(M$19:M$30,$U75),_xlpm.tot,SUMPRODUCT(M$19:M$30,$T$19:$T$30),_xlpm.n,M$14,_xlpm.cum,SUMPRODUCT((ROW($C$19:$C$30)-18&lt;$U75)*M$19:M$30*$T$19:$T$30)+$V75*_xlpm.w,IF(OR(_xlpm.n="",_xlpm.n=0,_xlpm.tot=0,_xlpm.w=0),0,ROUND(_xlpm.cum/_xlpm.tot*_xlpm.n,0)-ROUND((_xlpm.cum-_xlpm.w)/_xlpm.tot*_xlpm.n,0)))</f>
        <v>0</v>
      </c>
      <c r="N75" s="691" cm="1">
        <f t="array" aca="1" ref="N75" ca="1">_xlfn.LET(_xlpm.w,INDEX(N$19:N$30,$U75),_xlpm.tot,SUMPRODUCT(N$19:N$30,$T$19:$T$30),_xlpm.n,N$14,_xlpm.cum,SUMPRODUCT((ROW($C$19:$C$30)-18&lt;$U75)*N$19:N$30*$T$19:$T$30)+$V75*_xlpm.w,IF(OR(_xlpm.n="",_xlpm.n=0,_xlpm.tot=0,_xlpm.w=0),0,ROUND(_xlpm.cum/_xlpm.tot*_xlpm.n,0)-ROUND((_xlpm.cum-_xlpm.w)/_xlpm.tot*_xlpm.n,0)))</f>
        <v>0</v>
      </c>
      <c r="O75" s="691" cm="1">
        <f t="array" aca="1" ref="O75" ca="1">_xlfn.LET(_xlpm.w,INDEX(O$19:O$30,$U75),_xlpm.tot,SUMPRODUCT(O$19:O$30,$T$19:$T$30),_xlpm.n,O$14,_xlpm.cum,SUMPRODUCT((ROW($C$19:$C$30)-18&lt;$U75)*O$19:O$30*$T$19:$T$30)+$V75*_xlpm.w,IF(OR(_xlpm.n="",_xlpm.n=0,_xlpm.tot=0,_xlpm.w=0),0,ROUND(_xlpm.cum/_xlpm.tot*_xlpm.n,0)-ROUND((_xlpm.cum-_xlpm.w)/_xlpm.tot*_xlpm.n,0)))</f>
        <v>0</v>
      </c>
      <c r="P75" s="691" cm="1">
        <f t="array" aca="1" ref="P75" ca="1">_xlfn.LET(_xlpm.w,INDEX(P$19:P$30,$U75),_xlpm.tot,SUMPRODUCT(P$19:P$30,$T$19:$T$30),_xlpm.n,P$14,_xlpm.cum,SUMPRODUCT((ROW($C$19:$C$30)-18&lt;$U75)*P$19:P$30*$T$19:$T$30)+$V75*_xlpm.w,IF(OR(_xlpm.n="",_xlpm.n=0,_xlpm.tot=0,_xlpm.w=0),0,ROUND(_xlpm.cum/_xlpm.tot*_xlpm.n,0)-ROUND((_xlpm.cum-_xlpm.w)/_xlpm.tot*_xlpm.n,0)))</f>
        <v>0</v>
      </c>
      <c r="Q75" s="691" cm="1">
        <f t="array" aca="1" ref="Q75" ca="1">_xlfn.LET(_xlpm.w,INDEX(Q$19:Q$30,$U75),_xlpm.tot,SUMPRODUCT(Q$19:Q$30,$T$19:$T$30),_xlpm.n,Q$14,_xlpm.cum,SUMPRODUCT((ROW($C$19:$C$30)-18&lt;$U75)*Q$19:Q$30*$T$19:$T$30)+$V75*_xlpm.w,IF(OR(_xlpm.n="",_xlpm.n=0,_xlpm.tot=0,_xlpm.w=0),0,ROUND(_xlpm.cum/_xlpm.tot*_xlpm.n,0)-ROUND((_xlpm.cum-_xlpm.w)/_xlpm.tot*_xlpm.n,0)))</f>
        <v>0</v>
      </c>
      <c r="R75" s="691" cm="1">
        <f t="array" aca="1" ref="R75" ca="1">_xlfn.LET(_xlpm.w,INDEX(R$19:R$30,$U75),_xlpm.tot,SUMPRODUCT(R$19:R$30,$T$19:$T$30),_xlpm.n,R$14,_xlpm.cum,SUMPRODUCT((ROW($C$19:$C$30)-18&lt;$U75)*R$19:R$30*$T$19:$T$30)+$V75*_xlpm.w,IF(OR(_xlpm.n="",_xlpm.n=0,_xlpm.tot=0,_xlpm.w=0),0,ROUND(_xlpm.cum/_xlpm.tot*_xlpm.n,0)-ROUND((_xlpm.cum-_xlpm.w)/_xlpm.tot*_xlpm.n,0)))</f>
        <v>0</v>
      </c>
      <c r="S75" s="692">
        <f t="shared" ca="1" si="16"/>
        <v>3</v>
      </c>
      <c r="T75" s="693">
        <f t="shared" ca="1" si="17"/>
        <v>46156</v>
      </c>
      <c r="U75" s="694">
        <f t="shared" ca="1" si="18"/>
        <v>5</v>
      </c>
      <c r="V75" s="694">
        <f ca="1">COUNTIFS($U$56:$U75,$U75)</f>
        <v>3</v>
      </c>
      <c r="W75" s="695">
        <f t="shared" ca="1" si="19"/>
        <v>14.4</v>
      </c>
      <c r="X75" s="696" cm="1">
        <f t="array" aca="1" ref="X75" ca="1">INDEX($U$19:$U$30,$U75)</f>
        <v>20</v>
      </c>
      <c r="Y75" s="697">
        <f t="shared" ca="1" si="20"/>
        <v>0.72</v>
      </c>
      <c r="Z75" s="698" t="str">
        <f t="shared" ca="1" si="21"/>
        <v>OK</v>
      </c>
    </row>
    <row r="76" spans="1:26" ht="13.95" customHeight="1">
      <c r="A76" s="689">
        <f t="shared" si="22"/>
        <v>21</v>
      </c>
      <c r="B76" s="690" t="str" cm="1">
        <f t="array" aca="1" ref="B76" ca="1">INDEX($B$19:$B$30,$U76)</f>
        <v>MAI</v>
      </c>
      <c r="C76" s="691" cm="1">
        <f t="array" aca="1" ref="C76" ca="1">_xlfn.LET(_xlpm.w,INDEX(C$19:C$30,$U76),_xlpm.tot,SUMPRODUCT(C$19:C$30,$T$19:$T$30),_xlpm.n,C$14,_xlpm.cum,SUMPRODUCT((ROW($C$19:$C$30)-18&lt;$U76)*C$19:C$30*$T$19:$T$30)+$V76*_xlpm.w,IF(OR(_xlpm.n="",_xlpm.n=0,_xlpm.tot=0,_xlpm.w=0),0,ROUND(_xlpm.cum/_xlpm.tot*_xlpm.n,0)-ROUND((_xlpm.cum-_xlpm.w)/_xlpm.tot*_xlpm.n,0)))</f>
        <v>0</v>
      </c>
      <c r="D76" s="691" cm="1">
        <f t="array" aca="1" ref="D76" ca="1">_xlfn.LET(_xlpm.w,INDEX(D$19:D$30,$U76),_xlpm.tot,SUMPRODUCT(D$19:D$30,$T$19:$T$30),_xlpm.n,D$14,_xlpm.cum,SUMPRODUCT((ROW($C$19:$C$30)-18&lt;$U76)*D$19:D$30*$T$19:$T$30)+$V76*_xlpm.w,IF(OR(_xlpm.n="",_xlpm.n=0,_xlpm.tot=0,_xlpm.w=0),0,ROUND(_xlpm.cum/_xlpm.tot*_xlpm.n,0)-ROUND((_xlpm.cum-_xlpm.w)/_xlpm.tot*_xlpm.n,0)))</f>
        <v>0</v>
      </c>
      <c r="E76" s="691" cm="1">
        <f t="array" aca="1" ref="E76" ca="1">_xlfn.LET(_xlpm.w,INDEX(E$19:E$30,$U76),_xlpm.tot,SUMPRODUCT(E$19:E$30,$T$19:$T$30),_xlpm.n,E$14,_xlpm.cum,SUMPRODUCT((ROW($C$19:$C$30)-18&lt;$U76)*E$19:E$30*$T$19:$T$30)+$V76*_xlpm.w,IF(OR(_xlpm.n="",_xlpm.n=0,_xlpm.tot=0,_xlpm.w=0),0,ROUND(_xlpm.cum/_xlpm.tot*_xlpm.n,0)-ROUND((_xlpm.cum-_xlpm.w)/_xlpm.tot*_xlpm.n,0)))</f>
        <v>0</v>
      </c>
      <c r="F76" s="691" cm="1">
        <f t="array" aca="1" ref="F76" ca="1">_xlfn.LET(_xlpm.w,INDEX(F$19:F$30,$U76),_xlpm.tot,SUMPRODUCT(F$19:F$30,$T$19:$T$30),_xlpm.n,F$14,_xlpm.cum,SUMPRODUCT((ROW($C$19:$C$30)-18&lt;$U76)*F$19:F$30*$T$19:$T$30)+$V76*_xlpm.w,IF(OR(_xlpm.n="",_xlpm.n=0,_xlpm.tot=0,_xlpm.w=0),0,ROUND(_xlpm.cum/_xlpm.tot*_xlpm.n,0)-ROUND((_xlpm.cum-_xlpm.w)/_xlpm.tot*_xlpm.n,0)))</f>
        <v>1</v>
      </c>
      <c r="G76" s="691" cm="1">
        <f t="array" aca="1" ref="G76" ca="1">_xlfn.LET(_xlpm.w,INDEX(G$19:G$30,$U76),_xlpm.tot,SUMPRODUCT(G$19:G$30,$T$19:$T$30),_xlpm.n,G$14,_xlpm.cum,SUMPRODUCT((ROW($C$19:$C$30)-18&lt;$U76)*G$19:G$30*$T$19:$T$30)+$V76*_xlpm.w,IF(OR(_xlpm.n="",_xlpm.n=0,_xlpm.tot=0,_xlpm.w=0),0,ROUND(_xlpm.cum/_xlpm.tot*_xlpm.n,0)-ROUND((_xlpm.cum-_xlpm.w)/_xlpm.tot*_xlpm.n,0)))</f>
        <v>0</v>
      </c>
      <c r="H76" s="691" cm="1">
        <f t="array" aca="1" ref="H76" ca="1">_xlfn.LET(_xlpm.w,INDEX(H$19:H$30,$U76),_xlpm.tot,SUMPRODUCT(H$19:H$30,$T$19:$T$30),_xlpm.n,H$14,_xlpm.cum,SUMPRODUCT((ROW($C$19:$C$30)-18&lt;$U76)*H$19:H$30*$T$19:$T$30)+$V76*_xlpm.w,IF(OR(_xlpm.n="",_xlpm.n=0,_xlpm.tot=0,_xlpm.w=0),0,ROUND(_xlpm.cum/_xlpm.tot*_xlpm.n,0)-ROUND((_xlpm.cum-_xlpm.w)/_xlpm.tot*_xlpm.n,0)))</f>
        <v>0</v>
      </c>
      <c r="I76" s="691" cm="1">
        <f t="array" aca="1" ref="I76" ca="1">_xlfn.LET(_xlpm.w,INDEX(I$19:I$30,$U76),_xlpm.tot,SUMPRODUCT(I$19:I$30,$T$19:$T$30),_xlpm.n,I$14,_xlpm.cum,SUMPRODUCT((ROW($C$19:$C$30)-18&lt;$U76)*I$19:I$30*$T$19:$T$30)+$V76*_xlpm.w,IF(OR(_xlpm.n="",_xlpm.n=0,_xlpm.tot=0,_xlpm.w=0),0,ROUND(_xlpm.cum/_xlpm.tot*_xlpm.n,0)-ROUND((_xlpm.cum-_xlpm.w)/_xlpm.tot*_xlpm.n,0)))</f>
        <v>0</v>
      </c>
      <c r="J76" s="691" cm="1">
        <f t="array" aca="1" ref="J76" ca="1">_xlfn.LET(_xlpm.w,INDEX(J$19:J$30,$U76),_xlpm.tot,SUMPRODUCT(J$19:J$30,$T$19:$T$30),_xlpm.n,J$14,_xlpm.cum,SUMPRODUCT((ROW($C$19:$C$30)-18&lt;$U76)*J$19:J$30*$T$19:$T$30)+$V76*_xlpm.w,IF(OR(_xlpm.n="",_xlpm.n=0,_xlpm.tot=0,_xlpm.w=0),0,ROUND(_xlpm.cum/_xlpm.tot*_xlpm.n,0)-ROUND((_xlpm.cum-_xlpm.w)/_xlpm.tot*_xlpm.n,0)))</f>
        <v>0</v>
      </c>
      <c r="K76" s="691" cm="1">
        <f t="array" aca="1" ref="K76" ca="1">_xlfn.LET(_xlpm.w,INDEX(K$19:K$30,$U76),_xlpm.tot,SUMPRODUCT(K$19:K$30,$T$19:$T$30),_xlpm.n,K$14,_xlpm.cum,SUMPRODUCT((ROW($C$19:$C$30)-18&lt;$U76)*K$19:K$30*$T$19:$T$30)+$V76*_xlpm.w,IF(OR(_xlpm.n="",_xlpm.n=0,_xlpm.tot=0,_xlpm.w=0),0,ROUND(_xlpm.cum/_xlpm.tot*_xlpm.n,0)-ROUND((_xlpm.cum-_xlpm.w)/_xlpm.tot*_xlpm.n,0)))</f>
        <v>0</v>
      </c>
      <c r="L76" s="691" cm="1">
        <f t="array" aca="1" ref="L76" ca="1">_xlfn.LET(_xlpm.w,INDEX(L$19:L$30,$U76),_xlpm.tot,SUMPRODUCT(L$19:L$30,$T$19:$T$30),_xlpm.n,L$14,_xlpm.cum,SUMPRODUCT((ROW($C$19:$C$30)-18&lt;$U76)*L$19:L$30*$T$19:$T$30)+$V76*_xlpm.w,IF(OR(_xlpm.n="",_xlpm.n=0,_xlpm.tot=0,_xlpm.w=0),0,ROUND(_xlpm.cum/_xlpm.tot*_xlpm.n,0)-ROUND((_xlpm.cum-_xlpm.w)/_xlpm.tot*_xlpm.n,0)))</f>
        <v>0</v>
      </c>
      <c r="M76" s="691" cm="1">
        <f t="array" aca="1" ref="M76" ca="1">_xlfn.LET(_xlpm.w,INDEX(M$19:M$30,$U76),_xlpm.tot,SUMPRODUCT(M$19:M$30,$T$19:$T$30),_xlpm.n,M$14,_xlpm.cum,SUMPRODUCT((ROW($C$19:$C$30)-18&lt;$U76)*M$19:M$30*$T$19:$T$30)+$V76*_xlpm.w,IF(OR(_xlpm.n="",_xlpm.n=0,_xlpm.tot=0,_xlpm.w=0),0,ROUND(_xlpm.cum/_xlpm.tot*_xlpm.n,0)-ROUND((_xlpm.cum-_xlpm.w)/_xlpm.tot*_xlpm.n,0)))</f>
        <v>0</v>
      </c>
      <c r="N76" s="691" cm="1">
        <f t="array" aca="1" ref="N76" ca="1">_xlfn.LET(_xlpm.w,INDEX(N$19:N$30,$U76),_xlpm.tot,SUMPRODUCT(N$19:N$30,$T$19:$T$30),_xlpm.n,N$14,_xlpm.cum,SUMPRODUCT((ROW($C$19:$C$30)-18&lt;$U76)*N$19:N$30*$T$19:$T$30)+$V76*_xlpm.w,IF(OR(_xlpm.n="",_xlpm.n=0,_xlpm.tot=0,_xlpm.w=0),0,ROUND(_xlpm.cum/_xlpm.tot*_xlpm.n,0)-ROUND((_xlpm.cum-_xlpm.w)/_xlpm.tot*_xlpm.n,0)))</f>
        <v>0</v>
      </c>
      <c r="O76" s="691" cm="1">
        <f t="array" aca="1" ref="O76" ca="1">_xlfn.LET(_xlpm.w,INDEX(O$19:O$30,$U76),_xlpm.tot,SUMPRODUCT(O$19:O$30,$T$19:$T$30),_xlpm.n,O$14,_xlpm.cum,SUMPRODUCT((ROW($C$19:$C$30)-18&lt;$U76)*O$19:O$30*$T$19:$T$30)+$V76*_xlpm.w,IF(OR(_xlpm.n="",_xlpm.n=0,_xlpm.tot=0,_xlpm.w=0),0,ROUND(_xlpm.cum/_xlpm.tot*_xlpm.n,0)-ROUND((_xlpm.cum-_xlpm.w)/_xlpm.tot*_xlpm.n,0)))</f>
        <v>0</v>
      </c>
      <c r="P76" s="691" cm="1">
        <f t="array" aca="1" ref="P76" ca="1">_xlfn.LET(_xlpm.w,INDEX(P$19:P$30,$U76),_xlpm.tot,SUMPRODUCT(P$19:P$30,$T$19:$T$30),_xlpm.n,P$14,_xlpm.cum,SUMPRODUCT((ROW($C$19:$C$30)-18&lt;$U76)*P$19:P$30*$T$19:$T$30)+$V76*_xlpm.w,IF(OR(_xlpm.n="",_xlpm.n=0,_xlpm.tot=0,_xlpm.w=0),0,ROUND(_xlpm.cum/_xlpm.tot*_xlpm.n,0)-ROUND((_xlpm.cum-_xlpm.w)/_xlpm.tot*_xlpm.n,0)))</f>
        <v>0</v>
      </c>
      <c r="Q76" s="691" cm="1">
        <f t="array" aca="1" ref="Q76" ca="1">_xlfn.LET(_xlpm.w,INDEX(Q$19:Q$30,$U76),_xlpm.tot,SUMPRODUCT(Q$19:Q$30,$T$19:$T$30),_xlpm.n,Q$14,_xlpm.cum,SUMPRODUCT((ROW($C$19:$C$30)-18&lt;$U76)*Q$19:Q$30*$T$19:$T$30)+$V76*_xlpm.w,IF(OR(_xlpm.n="",_xlpm.n=0,_xlpm.tot=0,_xlpm.w=0),0,ROUND(_xlpm.cum/_xlpm.tot*_xlpm.n,0)-ROUND((_xlpm.cum-_xlpm.w)/_xlpm.tot*_xlpm.n,0)))</f>
        <v>0</v>
      </c>
      <c r="R76" s="691" cm="1">
        <f t="array" aca="1" ref="R76" ca="1">_xlfn.LET(_xlpm.w,INDEX(R$19:R$30,$U76),_xlpm.tot,SUMPRODUCT(R$19:R$30,$T$19:$T$30),_xlpm.n,R$14,_xlpm.cum,SUMPRODUCT((ROW($C$19:$C$30)-18&lt;$U76)*R$19:R$30*$T$19:$T$30)+$V76*_xlpm.w,IF(OR(_xlpm.n="",_xlpm.n=0,_xlpm.tot=0,_xlpm.w=0),0,ROUND(_xlpm.cum/_xlpm.tot*_xlpm.n,0)-ROUND((_xlpm.cum-_xlpm.w)/_xlpm.tot*_xlpm.n,0)))</f>
        <v>0</v>
      </c>
      <c r="S76" s="692">
        <f t="shared" ca="1" si="16"/>
        <v>1</v>
      </c>
      <c r="T76" s="693">
        <f t="shared" ca="1" si="17"/>
        <v>46163</v>
      </c>
      <c r="U76" s="694">
        <f t="shared" ca="1" si="18"/>
        <v>5</v>
      </c>
      <c r="V76" s="694">
        <f ca="1">COUNTIFS($U$56:$U76,$U76)</f>
        <v>4</v>
      </c>
      <c r="W76" s="695">
        <f t="shared" ca="1" si="19"/>
        <v>4.8</v>
      </c>
      <c r="X76" s="696" cm="1">
        <f t="array" aca="1" ref="X76" ca="1">INDEX($U$19:$U$30,$U76)</f>
        <v>20</v>
      </c>
      <c r="Y76" s="697">
        <f t="shared" ca="1" si="20"/>
        <v>0.24</v>
      </c>
      <c r="Z76" s="698" t="str">
        <f t="shared" ca="1" si="21"/>
        <v>OK</v>
      </c>
    </row>
    <row r="77" spans="1:26" ht="13.95" customHeight="1">
      <c r="A77" s="689">
        <f t="shared" si="22"/>
        <v>22</v>
      </c>
      <c r="B77" s="690" t="str" cm="1">
        <f t="array" aca="1" ref="B77" ca="1">INDEX($B$19:$B$30,$U77)</f>
        <v>MAI</v>
      </c>
      <c r="C77" s="691" cm="1">
        <f t="array" aca="1" ref="C77" ca="1">_xlfn.LET(_xlpm.w,INDEX(C$19:C$30,$U77),_xlpm.tot,SUMPRODUCT(C$19:C$30,$T$19:$T$30),_xlpm.n,C$14,_xlpm.cum,SUMPRODUCT((ROW($C$19:$C$30)-18&lt;$U77)*C$19:C$30*$T$19:$T$30)+$V77*_xlpm.w,IF(OR(_xlpm.n="",_xlpm.n=0,_xlpm.tot=0,_xlpm.w=0),0,ROUND(_xlpm.cum/_xlpm.tot*_xlpm.n,0)-ROUND((_xlpm.cum-_xlpm.w)/_xlpm.tot*_xlpm.n,0)))</f>
        <v>0</v>
      </c>
      <c r="D77" s="691" cm="1">
        <f t="array" aca="1" ref="D77" ca="1">_xlfn.LET(_xlpm.w,INDEX(D$19:D$30,$U77),_xlpm.tot,SUMPRODUCT(D$19:D$30,$T$19:$T$30),_xlpm.n,D$14,_xlpm.cum,SUMPRODUCT((ROW($C$19:$C$30)-18&lt;$U77)*D$19:D$30*$T$19:$T$30)+$V77*_xlpm.w,IF(OR(_xlpm.n="",_xlpm.n=0,_xlpm.tot=0,_xlpm.w=0),0,ROUND(_xlpm.cum/_xlpm.tot*_xlpm.n,0)-ROUND((_xlpm.cum-_xlpm.w)/_xlpm.tot*_xlpm.n,0)))</f>
        <v>0</v>
      </c>
      <c r="E77" s="691" cm="1">
        <f t="array" aca="1" ref="E77" ca="1">_xlfn.LET(_xlpm.w,INDEX(E$19:E$30,$U77),_xlpm.tot,SUMPRODUCT(E$19:E$30,$T$19:$T$30),_xlpm.n,E$14,_xlpm.cum,SUMPRODUCT((ROW($C$19:$C$30)-18&lt;$U77)*E$19:E$30*$T$19:$T$30)+$V77*_xlpm.w,IF(OR(_xlpm.n="",_xlpm.n=0,_xlpm.tot=0,_xlpm.w=0),0,ROUND(_xlpm.cum/_xlpm.tot*_xlpm.n,0)-ROUND((_xlpm.cum-_xlpm.w)/_xlpm.tot*_xlpm.n,0)))</f>
        <v>0</v>
      </c>
      <c r="F77" s="691" cm="1">
        <f t="array" aca="1" ref="F77" ca="1">_xlfn.LET(_xlpm.w,INDEX(F$19:F$30,$U77),_xlpm.tot,SUMPRODUCT(F$19:F$30,$T$19:$T$30),_xlpm.n,F$14,_xlpm.cum,SUMPRODUCT((ROW($C$19:$C$30)-18&lt;$U77)*F$19:F$30*$T$19:$T$30)+$V77*_xlpm.w,IF(OR(_xlpm.n="",_xlpm.n=0,_xlpm.tot=0,_xlpm.w=0),0,ROUND(_xlpm.cum/_xlpm.tot*_xlpm.n,0)-ROUND((_xlpm.cum-_xlpm.w)/_xlpm.tot*_xlpm.n,0)))</f>
        <v>1</v>
      </c>
      <c r="G77" s="691" cm="1">
        <f t="array" aca="1" ref="G77" ca="1">_xlfn.LET(_xlpm.w,INDEX(G$19:G$30,$U77),_xlpm.tot,SUMPRODUCT(G$19:G$30,$T$19:$T$30),_xlpm.n,G$14,_xlpm.cum,SUMPRODUCT((ROW($C$19:$C$30)-18&lt;$U77)*G$19:G$30*$T$19:$T$30)+$V77*_xlpm.w,IF(OR(_xlpm.n="",_xlpm.n=0,_xlpm.tot=0,_xlpm.w=0),0,ROUND(_xlpm.cum/_xlpm.tot*_xlpm.n,0)-ROUND((_xlpm.cum-_xlpm.w)/_xlpm.tot*_xlpm.n,0)))</f>
        <v>0</v>
      </c>
      <c r="H77" s="691" cm="1">
        <f t="array" aca="1" ref="H77" ca="1">_xlfn.LET(_xlpm.w,INDEX(H$19:H$30,$U77),_xlpm.tot,SUMPRODUCT(H$19:H$30,$T$19:$T$30),_xlpm.n,H$14,_xlpm.cum,SUMPRODUCT((ROW($C$19:$C$30)-18&lt;$U77)*H$19:H$30*$T$19:$T$30)+$V77*_xlpm.w,IF(OR(_xlpm.n="",_xlpm.n=0,_xlpm.tot=0,_xlpm.w=0),0,ROUND(_xlpm.cum/_xlpm.tot*_xlpm.n,0)-ROUND((_xlpm.cum-_xlpm.w)/_xlpm.tot*_xlpm.n,0)))</f>
        <v>0</v>
      </c>
      <c r="I77" s="691" cm="1">
        <f t="array" aca="1" ref="I77" ca="1">_xlfn.LET(_xlpm.w,INDEX(I$19:I$30,$U77),_xlpm.tot,SUMPRODUCT(I$19:I$30,$T$19:$T$30),_xlpm.n,I$14,_xlpm.cum,SUMPRODUCT((ROW($C$19:$C$30)-18&lt;$U77)*I$19:I$30*$T$19:$T$30)+$V77*_xlpm.w,IF(OR(_xlpm.n="",_xlpm.n=0,_xlpm.tot=0,_xlpm.w=0),0,ROUND(_xlpm.cum/_xlpm.tot*_xlpm.n,0)-ROUND((_xlpm.cum-_xlpm.w)/_xlpm.tot*_xlpm.n,0)))</f>
        <v>0</v>
      </c>
      <c r="J77" s="691" cm="1">
        <f t="array" aca="1" ref="J77" ca="1">_xlfn.LET(_xlpm.w,INDEX(J$19:J$30,$U77),_xlpm.tot,SUMPRODUCT(J$19:J$30,$T$19:$T$30),_xlpm.n,J$14,_xlpm.cum,SUMPRODUCT((ROW($C$19:$C$30)-18&lt;$U77)*J$19:J$30*$T$19:$T$30)+$V77*_xlpm.w,IF(OR(_xlpm.n="",_xlpm.n=0,_xlpm.tot=0,_xlpm.w=0),0,ROUND(_xlpm.cum/_xlpm.tot*_xlpm.n,0)-ROUND((_xlpm.cum-_xlpm.w)/_xlpm.tot*_xlpm.n,0)))</f>
        <v>0</v>
      </c>
      <c r="K77" s="691" cm="1">
        <f t="array" aca="1" ref="K77" ca="1">_xlfn.LET(_xlpm.w,INDEX(K$19:K$30,$U77),_xlpm.tot,SUMPRODUCT(K$19:K$30,$T$19:$T$30),_xlpm.n,K$14,_xlpm.cum,SUMPRODUCT((ROW($C$19:$C$30)-18&lt;$U77)*K$19:K$30*$T$19:$T$30)+$V77*_xlpm.w,IF(OR(_xlpm.n="",_xlpm.n=0,_xlpm.tot=0,_xlpm.w=0),0,ROUND(_xlpm.cum/_xlpm.tot*_xlpm.n,0)-ROUND((_xlpm.cum-_xlpm.w)/_xlpm.tot*_xlpm.n,0)))</f>
        <v>0</v>
      </c>
      <c r="L77" s="691" cm="1">
        <f t="array" aca="1" ref="L77" ca="1">_xlfn.LET(_xlpm.w,INDEX(L$19:L$30,$U77),_xlpm.tot,SUMPRODUCT(L$19:L$30,$T$19:$T$30),_xlpm.n,L$14,_xlpm.cum,SUMPRODUCT((ROW($C$19:$C$30)-18&lt;$U77)*L$19:L$30*$T$19:$T$30)+$V77*_xlpm.w,IF(OR(_xlpm.n="",_xlpm.n=0,_xlpm.tot=0,_xlpm.w=0),0,ROUND(_xlpm.cum/_xlpm.tot*_xlpm.n,0)-ROUND((_xlpm.cum-_xlpm.w)/_xlpm.tot*_xlpm.n,0)))</f>
        <v>0</v>
      </c>
      <c r="M77" s="691" cm="1">
        <f t="array" aca="1" ref="M77" ca="1">_xlfn.LET(_xlpm.w,INDEX(M$19:M$30,$U77),_xlpm.tot,SUMPRODUCT(M$19:M$30,$T$19:$T$30),_xlpm.n,M$14,_xlpm.cum,SUMPRODUCT((ROW($C$19:$C$30)-18&lt;$U77)*M$19:M$30*$T$19:$T$30)+$V77*_xlpm.w,IF(OR(_xlpm.n="",_xlpm.n=0,_xlpm.tot=0,_xlpm.w=0),0,ROUND(_xlpm.cum/_xlpm.tot*_xlpm.n,0)-ROUND((_xlpm.cum-_xlpm.w)/_xlpm.tot*_xlpm.n,0)))</f>
        <v>0</v>
      </c>
      <c r="N77" s="691" cm="1">
        <f t="array" aca="1" ref="N77" ca="1">_xlfn.LET(_xlpm.w,INDEX(N$19:N$30,$U77),_xlpm.tot,SUMPRODUCT(N$19:N$30,$T$19:$T$30),_xlpm.n,N$14,_xlpm.cum,SUMPRODUCT((ROW($C$19:$C$30)-18&lt;$U77)*N$19:N$30*$T$19:$T$30)+$V77*_xlpm.w,IF(OR(_xlpm.n="",_xlpm.n=0,_xlpm.tot=0,_xlpm.w=0),0,ROUND(_xlpm.cum/_xlpm.tot*_xlpm.n,0)-ROUND((_xlpm.cum-_xlpm.w)/_xlpm.tot*_xlpm.n,0)))</f>
        <v>0</v>
      </c>
      <c r="O77" s="691" cm="1">
        <f t="array" aca="1" ref="O77" ca="1">_xlfn.LET(_xlpm.w,INDEX(O$19:O$30,$U77),_xlpm.tot,SUMPRODUCT(O$19:O$30,$T$19:$T$30),_xlpm.n,O$14,_xlpm.cum,SUMPRODUCT((ROW($C$19:$C$30)-18&lt;$U77)*O$19:O$30*$T$19:$T$30)+$V77*_xlpm.w,IF(OR(_xlpm.n="",_xlpm.n=0,_xlpm.tot=0,_xlpm.w=0),0,ROUND(_xlpm.cum/_xlpm.tot*_xlpm.n,0)-ROUND((_xlpm.cum-_xlpm.w)/_xlpm.tot*_xlpm.n,0)))</f>
        <v>0</v>
      </c>
      <c r="P77" s="691" cm="1">
        <f t="array" aca="1" ref="P77" ca="1">_xlfn.LET(_xlpm.w,INDEX(P$19:P$30,$U77),_xlpm.tot,SUMPRODUCT(P$19:P$30,$T$19:$T$30),_xlpm.n,P$14,_xlpm.cum,SUMPRODUCT((ROW($C$19:$C$30)-18&lt;$U77)*P$19:P$30*$T$19:$T$30)+$V77*_xlpm.w,IF(OR(_xlpm.n="",_xlpm.n=0,_xlpm.tot=0,_xlpm.w=0),0,ROUND(_xlpm.cum/_xlpm.tot*_xlpm.n,0)-ROUND((_xlpm.cum-_xlpm.w)/_xlpm.tot*_xlpm.n,0)))</f>
        <v>0</v>
      </c>
      <c r="Q77" s="691" cm="1">
        <f t="array" aca="1" ref="Q77" ca="1">_xlfn.LET(_xlpm.w,INDEX(Q$19:Q$30,$U77),_xlpm.tot,SUMPRODUCT(Q$19:Q$30,$T$19:$T$30),_xlpm.n,Q$14,_xlpm.cum,SUMPRODUCT((ROW($C$19:$C$30)-18&lt;$U77)*Q$19:Q$30*$T$19:$T$30)+$V77*_xlpm.w,IF(OR(_xlpm.n="",_xlpm.n=0,_xlpm.tot=0,_xlpm.w=0),0,ROUND(_xlpm.cum/_xlpm.tot*_xlpm.n,0)-ROUND((_xlpm.cum-_xlpm.w)/_xlpm.tot*_xlpm.n,0)))</f>
        <v>0</v>
      </c>
      <c r="R77" s="691" cm="1">
        <f t="array" aca="1" ref="R77" ca="1">_xlfn.LET(_xlpm.w,INDEX(R$19:R$30,$U77),_xlpm.tot,SUMPRODUCT(R$19:R$30,$T$19:$T$30),_xlpm.n,R$14,_xlpm.cum,SUMPRODUCT((ROW($C$19:$C$30)-18&lt;$U77)*R$19:R$30*$T$19:$T$30)+$V77*_xlpm.w,IF(OR(_xlpm.n="",_xlpm.n=0,_xlpm.tot=0,_xlpm.w=0),0,ROUND(_xlpm.cum/_xlpm.tot*_xlpm.n,0)-ROUND((_xlpm.cum-_xlpm.w)/_xlpm.tot*_xlpm.n,0)))</f>
        <v>0</v>
      </c>
      <c r="S77" s="692">
        <f t="shared" ca="1" si="16"/>
        <v>1</v>
      </c>
      <c r="T77" s="693">
        <f t="shared" ca="1" si="17"/>
        <v>46170</v>
      </c>
      <c r="U77" s="694">
        <f t="shared" ca="1" si="18"/>
        <v>5</v>
      </c>
      <c r="V77" s="694">
        <f ca="1">COUNTIFS($U$56:$U77,$U77)</f>
        <v>5</v>
      </c>
      <c r="W77" s="695">
        <f t="shared" ca="1" si="19"/>
        <v>4.8</v>
      </c>
      <c r="X77" s="696" cm="1">
        <f t="array" aca="1" ref="X77" ca="1">INDEX($U$19:$U$30,$U77)</f>
        <v>20</v>
      </c>
      <c r="Y77" s="697">
        <f t="shared" ca="1" si="20"/>
        <v>0.24</v>
      </c>
      <c r="Z77" s="698" t="str">
        <f t="shared" ca="1" si="21"/>
        <v>OK</v>
      </c>
    </row>
    <row r="78" spans="1:26" ht="13.95" customHeight="1">
      <c r="A78" s="689">
        <f t="shared" si="22"/>
        <v>23</v>
      </c>
      <c r="B78" s="690" t="str" cm="1">
        <f t="array" aca="1" ref="B78" ca="1">INDEX($B$19:$B$30,$U78)</f>
        <v>JUIN</v>
      </c>
      <c r="C78" s="691" cm="1">
        <f t="array" aca="1" ref="C78" ca="1">_xlfn.LET(_xlpm.w,INDEX(C$19:C$30,$U78),_xlpm.tot,SUMPRODUCT(C$19:C$30,$T$19:$T$30),_xlpm.n,C$14,_xlpm.cum,SUMPRODUCT((ROW($C$19:$C$30)-18&lt;$U78)*C$19:C$30*$T$19:$T$30)+$V78*_xlpm.w,IF(OR(_xlpm.n="",_xlpm.n=0,_xlpm.tot=0,_xlpm.w=0),0,ROUND(_xlpm.cum/_xlpm.tot*_xlpm.n,0)-ROUND((_xlpm.cum-_xlpm.w)/_xlpm.tot*_xlpm.n,0)))</f>
        <v>0</v>
      </c>
      <c r="D78" s="691" cm="1">
        <f t="array" aca="1" ref="D78" ca="1">_xlfn.LET(_xlpm.w,INDEX(D$19:D$30,$U78),_xlpm.tot,SUMPRODUCT(D$19:D$30,$T$19:$T$30),_xlpm.n,D$14,_xlpm.cum,SUMPRODUCT((ROW($C$19:$C$30)-18&lt;$U78)*D$19:D$30*$T$19:$T$30)+$V78*_xlpm.w,IF(OR(_xlpm.n="",_xlpm.n=0,_xlpm.tot=0,_xlpm.w=0),0,ROUND(_xlpm.cum/_xlpm.tot*_xlpm.n,0)-ROUND((_xlpm.cum-_xlpm.w)/_xlpm.tot*_xlpm.n,0)))</f>
        <v>0</v>
      </c>
      <c r="E78" s="691" cm="1">
        <f t="array" aca="1" ref="E78" ca="1">_xlfn.LET(_xlpm.w,INDEX(E$19:E$30,$U78),_xlpm.tot,SUMPRODUCT(E$19:E$30,$T$19:$T$30),_xlpm.n,E$14,_xlpm.cum,SUMPRODUCT((ROW($C$19:$C$30)-18&lt;$U78)*E$19:E$30*$T$19:$T$30)+$V78*_xlpm.w,IF(OR(_xlpm.n="",_xlpm.n=0,_xlpm.tot=0,_xlpm.w=0),0,ROUND(_xlpm.cum/_xlpm.tot*_xlpm.n,0)-ROUND((_xlpm.cum-_xlpm.w)/_xlpm.tot*_xlpm.n,0)))</f>
        <v>0</v>
      </c>
      <c r="F78" s="691" cm="1">
        <f t="array" aca="1" ref="F78" ca="1">_xlfn.LET(_xlpm.w,INDEX(F$19:F$30,$U78),_xlpm.tot,SUMPRODUCT(F$19:F$30,$T$19:$T$30),_xlpm.n,F$14,_xlpm.cum,SUMPRODUCT((ROW($C$19:$C$30)-18&lt;$U78)*F$19:F$30*$T$19:$T$30)+$V78*_xlpm.w,IF(OR(_xlpm.n="",_xlpm.n=0,_xlpm.tot=0,_xlpm.w=0),0,ROUND(_xlpm.cum/_xlpm.tot*_xlpm.n,0)-ROUND((_xlpm.cum-_xlpm.w)/_xlpm.tot*_xlpm.n,0)))</f>
        <v>0</v>
      </c>
      <c r="G78" s="691" cm="1">
        <f t="array" aca="1" ref="G78" ca="1">_xlfn.LET(_xlpm.w,INDEX(G$19:G$30,$U78),_xlpm.tot,SUMPRODUCT(G$19:G$30,$T$19:$T$30),_xlpm.n,G$14,_xlpm.cum,SUMPRODUCT((ROW($C$19:$C$30)-18&lt;$U78)*G$19:G$30*$T$19:$T$30)+$V78*_xlpm.w,IF(OR(_xlpm.n="",_xlpm.n=0,_xlpm.tot=0,_xlpm.w=0),0,ROUND(_xlpm.cum/_xlpm.tot*_xlpm.n,0)-ROUND((_xlpm.cum-_xlpm.w)/_xlpm.tot*_xlpm.n,0)))</f>
        <v>0</v>
      </c>
      <c r="H78" s="691" cm="1">
        <f t="array" aca="1" ref="H78" ca="1">_xlfn.LET(_xlpm.w,INDEX(H$19:H$30,$U78),_xlpm.tot,SUMPRODUCT(H$19:H$30,$T$19:$T$30),_xlpm.n,H$14,_xlpm.cum,SUMPRODUCT((ROW($C$19:$C$30)-18&lt;$U78)*H$19:H$30*$T$19:$T$30)+$V78*_xlpm.w,IF(OR(_xlpm.n="",_xlpm.n=0,_xlpm.tot=0,_xlpm.w=0),0,ROUND(_xlpm.cum/_xlpm.tot*_xlpm.n,0)-ROUND((_xlpm.cum-_xlpm.w)/_xlpm.tot*_xlpm.n,0)))</f>
        <v>0</v>
      </c>
      <c r="I78" s="691" cm="1">
        <f t="array" aca="1" ref="I78" ca="1">_xlfn.LET(_xlpm.w,INDEX(I$19:I$30,$U78),_xlpm.tot,SUMPRODUCT(I$19:I$30,$T$19:$T$30),_xlpm.n,I$14,_xlpm.cum,SUMPRODUCT((ROW($C$19:$C$30)-18&lt;$U78)*I$19:I$30*$T$19:$T$30)+$V78*_xlpm.w,IF(OR(_xlpm.n="",_xlpm.n=0,_xlpm.tot=0,_xlpm.w=0),0,ROUND(_xlpm.cum/_xlpm.tot*_xlpm.n,0)-ROUND((_xlpm.cum-_xlpm.w)/_xlpm.tot*_xlpm.n,0)))</f>
        <v>0</v>
      </c>
      <c r="J78" s="691" cm="1">
        <f t="array" aca="1" ref="J78" ca="1">_xlfn.LET(_xlpm.w,INDEX(J$19:J$30,$U78),_xlpm.tot,SUMPRODUCT(J$19:J$30,$T$19:$T$30),_xlpm.n,J$14,_xlpm.cum,SUMPRODUCT((ROW($C$19:$C$30)-18&lt;$U78)*J$19:J$30*$T$19:$T$30)+$V78*_xlpm.w,IF(OR(_xlpm.n="",_xlpm.n=0,_xlpm.tot=0,_xlpm.w=0),0,ROUND(_xlpm.cum/_xlpm.tot*_xlpm.n,0)-ROUND((_xlpm.cum-_xlpm.w)/_xlpm.tot*_xlpm.n,0)))</f>
        <v>0</v>
      </c>
      <c r="K78" s="691" cm="1">
        <f t="array" aca="1" ref="K78" ca="1">_xlfn.LET(_xlpm.w,INDEX(K$19:K$30,$U78),_xlpm.tot,SUMPRODUCT(K$19:K$30,$T$19:$T$30),_xlpm.n,K$14,_xlpm.cum,SUMPRODUCT((ROW($C$19:$C$30)-18&lt;$U78)*K$19:K$30*$T$19:$T$30)+$V78*_xlpm.w,IF(OR(_xlpm.n="",_xlpm.n=0,_xlpm.tot=0,_xlpm.w=0),0,ROUND(_xlpm.cum/_xlpm.tot*_xlpm.n,0)-ROUND((_xlpm.cum-_xlpm.w)/_xlpm.tot*_xlpm.n,0)))</f>
        <v>0</v>
      </c>
      <c r="L78" s="691" cm="1">
        <f t="array" aca="1" ref="L78" ca="1">_xlfn.LET(_xlpm.w,INDEX(L$19:L$30,$U78),_xlpm.tot,SUMPRODUCT(L$19:L$30,$T$19:$T$30),_xlpm.n,L$14,_xlpm.cum,SUMPRODUCT((ROW($C$19:$C$30)-18&lt;$U78)*L$19:L$30*$T$19:$T$30)+$V78*_xlpm.w,IF(OR(_xlpm.n="",_xlpm.n=0,_xlpm.tot=0,_xlpm.w=0),0,ROUND(_xlpm.cum/_xlpm.tot*_xlpm.n,0)-ROUND((_xlpm.cum-_xlpm.w)/_xlpm.tot*_xlpm.n,0)))</f>
        <v>0</v>
      </c>
      <c r="M78" s="691" cm="1">
        <f t="array" aca="1" ref="M78" ca="1">_xlfn.LET(_xlpm.w,INDEX(M$19:M$30,$U78),_xlpm.tot,SUMPRODUCT(M$19:M$30,$T$19:$T$30),_xlpm.n,M$14,_xlpm.cum,SUMPRODUCT((ROW($C$19:$C$30)-18&lt;$U78)*M$19:M$30*$T$19:$T$30)+$V78*_xlpm.w,IF(OR(_xlpm.n="",_xlpm.n=0,_xlpm.tot=0,_xlpm.w=0),0,ROUND(_xlpm.cum/_xlpm.tot*_xlpm.n,0)-ROUND((_xlpm.cum-_xlpm.w)/_xlpm.tot*_xlpm.n,0)))</f>
        <v>0</v>
      </c>
      <c r="N78" s="691" cm="1">
        <f t="array" aca="1" ref="N78" ca="1">_xlfn.LET(_xlpm.w,INDEX(N$19:N$30,$U78),_xlpm.tot,SUMPRODUCT(N$19:N$30,$T$19:$T$30),_xlpm.n,N$14,_xlpm.cum,SUMPRODUCT((ROW($C$19:$C$30)-18&lt;$U78)*N$19:N$30*$T$19:$T$30)+$V78*_xlpm.w,IF(OR(_xlpm.n="",_xlpm.n=0,_xlpm.tot=0,_xlpm.w=0),0,ROUND(_xlpm.cum/_xlpm.tot*_xlpm.n,0)-ROUND((_xlpm.cum-_xlpm.w)/_xlpm.tot*_xlpm.n,0)))</f>
        <v>0</v>
      </c>
      <c r="O78" s="691" cm="1">
        <f t="array" aca="1" ref="O78" ca="1">_xlfn.LET(_xlpm.w,INDEX(O$19:O$30,$U78),_xlpm.tot,SUMPRODUCT(O$19:O$30,$T$19:$T$30),_xlpm.n,O$14,_xlpm.cum,SUMPRODUCT((ROW($C$19:$C$30)-18&lt;$U78)*O$19:O$30*$T$19:$T$30)+$V78*_xlpm.w,IF(OR(_xlpm.n="",_xlpm.n=0,_xlpm.tot=0,_xlpm.w=0),0,ROUND(_xlpm.cum/_xlpm.tot*_xlpm.n,0)-ROUND((_xlpm.cum-_xlpm.w)/_xlpm.tot*_xlpm.n,0)))</f>
        <v>0</v>
      </c>
      <c r="P78" s="691" cm="1">
        <f t="array" aca="1" ref="P78" ca="1">_xlfn.LET(_xlpm.w,INDEX(P$19:P$30,$U78),_xlpm.tot,SUMPRODUCT(P$19:P$30,$T$19:$T$30),_xlpm.n,P$14,_xlpm.cum,SUMPRODUCT((ROW($C$19:$C$30)-18&lt;$U78)*P$19:P$30*$T$19:$T$30)+$V78*_xlpm.w,IF(OR(_xlpm.n="",_xlpm.n=0,_xlpm.tot=0,_xlpm.w=0),0,ROUND(_xlpm.cum/_xlpm.tot*_xlpm.n,0)-ROUND((_xlpm.cum-_xlpm.w)/_xlpm.tot*_xlpm.n,0)))</f>
        <v>0</v>
      </c>
      <c r="Q78" s="691" cm="1">
        <f t="array" aca="1" ref="Q78" ca="1">_xlfn.LET(_xlpm.w,INDEX(Q$19:Q$30,$U78),_xlpm.tot,SUMPRODUCT(Q$19:Q$30,$T$19:$T$30),_xlpm.n,Q$14,_xlpm.cum,SUMPRODUCT((ROW($C$19:$C$30)-18&lt;$U78)*Q$19:Q$30*$T$19:$T$30)+$V78*_xlpm.w,IF(OR(_xlpm.n="",_xlpm.n=0,_xlpm.tot=0,_xlpm.w=0),0,ROUND(_xlpm.cum/_xlpm.tot*_xlpm.n,0)-ROUND((_xlpm.cum-_xlpm.w)/_xlpm.tot*_xlpm.n,0)))</f>
        <v>0</v>
      </c>
      <c r="R78" s="691" cm="1">
        <f t="array" aca="1" ref="R78" ca="1">_xlfn.LET(_xlpm.w,INDEX(R$19:R$30,$U78),_xlpm.tot,SUMPRODUCT(R$19:R$30,$T$19:$T$30),_xlpm.n,R$14,_xlpm.cum,SUMPRODUCT((ROW($C$19:$C$30)-18&lt;$U78)*R$19:R$30*$T$19:$T$30)+$V78*_xlpm.w,IF(OR(_xlpm.n="",_xlpm.n=0,_xlpm.tot=0,_xlpm.w=0),0,ROUND(_xlpm.cum/_xlpm.tot*_xlpm.n,0)-ROUND((_xlpm.cum-_xlpm.w)/_xlpm.tot*_xlpm.n,0)))</f>
        <v>0</v>
      </c>
      <c r="S78" s="692">
        <f t="shared" ca="1" si="16"/>
        <v>0</v>
      </c>
      <c r="T78" s="693">
        <f t="shared" ca="1" si="17"/>
        <v>46177</v>
      </c>
      <c r="U78" s="694">
        <f t="shared" ca="1" si="18"/>
        <v>6</v>
      </c>
      <c r="V78" s="694">
        <f ca="1">COUNTIFS($U$56:$U78,$U78)</f>
        <v>1</v>
      </c>
      <c r="W78" s="695">
        <f t="shared" ca="1" si="19"/>
        <v>0</v>
      </c>
      <c r="X78" s="696" cm="1">
        <f t="array" aca="1" ref="X78" ca="1">INDEX($U$19:$U$30,$U78)</f>
        <v>20</v>
      </c>
      <c r="Y78" s="697">
        <f t="shared" ca="1" si="20"/>
        <v>0</v>
      </c>
      <c r="Z78" s="698" t="str">
        <f t="shared" ca="1" si="21"/>
        <v>OK</v>
      </c>
    </row>
    <row r="79" spans="1:26" ht="13.95" customHeight="1">
      <c r="A79" s="689">
        <f t="shared" si="22"/>
        <v>24</v>
      </c>
      <c r="B79" s="690" t="str" cm="1">
        <f t="array" aca="1" ref="B79" ca="1">INDEX($B$19:$B$30,$U79)</f>
        <v>JUIN</v>
      </c>
      <c r="C79" s="691" cm="1">
        <f t="array" aca="1" ref="C79" ca="1">_xlfn.LET(_xlpm.w,INDEX(C$19:C$30,$U79),_xlpm.tot,SUMPRODUCT(C$19:C$30,$T$19:$T$30),_xlpm.n,C$14,_xlpm.cum,SUMPRODUCT((ROW($C$19:$C$30)-18&lt;$U79)*C$19:C$30*$T$19:$T$30)+$V79*_xlpm.w,IF(OR(_xlpm.n="",_xlpm.n=0,_xlpm.tot=0,_xlpm.w=0),0,ROUND(_xlpm.cum/_xlpm.tot*_xlpm.n,0)-ROUND((_xlpm.cum-_xlpm.w)/_xlpm.tot*_xlpm.n,0)))</f>
        <v>0</v>
      </c>
      <c r="D79" s="691" cm="1">
        <f t="array" aca="1" ref="D79" ca="1">_xlfn.LET(_xlpm.w,INDEX(D$19:D$30,$U79),_xlpm.tot,SUMPRODUCT(D$19:D$30,$T$19:$T$30),_xlpm.n,D$14,_xlpm.cum,SUMPRODUCT((ROW($C$19:$C$30)-18&lt;$U79)*D$19:D$30*$T$19:$T$30)+$V79*_xlpm.w,IF(OR(_xlpm.n="",_xlpm.n=0,_xlpm.tot=0,_xlpm.w=0),0,ROUND(_xlpm.cum/_xlpm.tot*_xlpm.n,0)-ROUND((_xlpm.cum-_xlpm.w)/_xlpm.tot*_xlpm.n,0)))</f>
        <v>0</v>
      </c>
      <c r="E79" s="691" cm="1">
        <f t="array" aca="1" ref="E79" ca="1">_xlfn.LET(_xlpm.w,INDEX(E$19:E$30,$U79),_xlpm.tot,SUMPRODUCT(E$19:E$30,$T$19:$T$30),_xlpm.n,E$14,_xlpm.cum,SUMPRODUCT((ROW($C$19:$C$30)-18&lt;$U79)*E$19:E$30*$T$19:$T$30)+$V79*_xlpm.w,IF(OR(_xlpm.n="",_xlpm.n=0,_xlpm.tot=0,_xlpm.w=0),0,ROUND(_xlpm.cum/_xlpm.tot*_xlpm.n,0)-ROUND((_xlpm.cum-_xlpm.w)/_xlpm.tot*_xlpm.n,0)))</f>
        <v>0</v>
      </c>
      <c r="F79" s="691" cm="1">
        <f t="array" aca="1" ref="F79" ca="1">_xlfn.LET(_xlpm.w,INDEX(F$19:F$30,$U79),_xlpm.tot,SUMPRODUCT(F$19:F$30,$T$19:$T$30),_xlpm.n,F$14,_xlpm.cum,SUMPRODUCT((ROW($C$19:$C$30)-18&lt;$U79)*F$19:F$30*$T$19:$T$30)+$V79*_xlpm.w,IF(OR(_xlpm.n="",_xlpm.n=0,_xlpm.tot=0,_xlpm.w=0),0,ROUND(_xlpm.cum/_xlpm.tot*_xlpm.n,0)-ROUND((_xlpm.cum-_xlpm.w)/_xlpm.tot*_xlpm.n,0)))</f>
        <v>1</v>
      </c>
      <c r="G79" s="691" cm="1">
        <f t="array" aca="1" ref="G79" ca="1">_xlfn.LET(_xlpm.w,INDEX(G$19:G$30,$U79),_xlpm.tot,SUMPRODUCT(G$19:G$30,$T$19:$T$30),_xlpm.n,G$14,_xlpm.cum,SUMPRODUCT((ROW($C$19:$C$30)-18&lt;$U79)*G$19:G$30*$T$19:$T$30)+$V79*_xlpm.w,IF(OR(_xlpm.n="",_xlpm.n=0,_xlpm.tot=0,_xlpm.w=0),0,ROUND(_xlpm.cum/_xlpm.tot*_xlpm.n,0)-ROUND((_xlpm.cum-_xlpm.w)/_xlpm.tot*_xlpm.n,0)))</f>
        <v>0</v>
      </c>
      <c r="H79" s="691" cm="1">
        <f t="array" aca="1" ref="H79" ca="1">_xlfn.LET(_xlpm.w,INDEX(H$19:H$30,$U79),_xlpm.tot,SUMPRODUCT(H$19:H$30,$T$19:$T$30),_xlpm.n,H$14,_xlpm.cum,SUMPRODUCT((ROW($C$19:$C$30)-18&lt;$U79)*H$19:H$30*$T$19:$T$30)+$V79*_xlpm.w,IF(OR(_xlpm.n="",_xlpm.n=0,_xlpm.tot=0,_xlpm.w=0),0,ROUND(_xlpm.cum/_xlpm.tot*_xlpm.n,0)-ROUND((_xlpm.cum-_xlpm.w)/_xlpm.tot*_xlpm.n,0)))</f>
        <v>0</v>
      </c>
      <c r="I79" s="691" cm="1">
        <f t="array" aca="1" ref="I79" ca="1">_xlfn.LET(_xlpm.w,INDEX(I$19:I$30,$U79),_xlpm.tot,SUMPRODUCT(I$19:I$30,$T$19:$T$30),_xlpm.n,I$14,_xlpm.cum,SUMPRODUCT((ROW($C$19:$C$30)-18&lt;$U79)*I$19:I$30*$T$19:$T$30)+$V79*_xlpm.w,IF(OR(_xlpm.n="",_xlpm.n=0,_xlpm.tot=0,_xlpm.w=0),0,ROUND(_xlpm.cum/_xlpm.tot*_xlpm.n,0)-ROUND((_xlpm.cum-_xlpm.w)/_xlpm.tot*_xlpm.n,0)))</f>
        <v>0</v>
      </c>
      <c r="J79" s="691" cm="1">
        <f t="array" aca="1" ref="J79" ca="1">_xlfn.LET(_xlpm.w,INDEX(J$19:J$30,$U79),_xlpm.tot,SUMPRODUCT(J$19:J$30,$T$19:$T$30),_xlpm.n,J$14,_xlpm.cum,SUMPRODUCT((ROW($C$19:$C$30)-18&lt;$U79)*J$19:J$30*$T$19:$T$30)+$V79*_xlpm.w,IF(OR(_xlpm.n="",_xlpm.n=0,_xlpm.tot=0,_xlpm.w=0),0,ROUND(_xlpm.cum/_xlpm.tot*_xlpm.n,0)-ROUND((_xlpm.cum-_xlpm.w)/_xlpm.tot*_xlpm.n,0)))</f>
        <v>0</v>
      </c>
      <c r="K79" s="691" cm="1">
        <f t="array" aca="1" ref="K79" ca="1">_xlfn.LET(_xlpm.w,INDEX(K$19:K$30,$U79),_xlpm.tot,SUMPRODUCT(K$19:K$30,$T$19:$T$30),_xlpm.n,K$14,_xlpm.cum,SUMPRODUCT((ROW($C$19:$C$30)-18&lt;$U79)*K$19:K$30*$T$19:$T$30)+$V79*_xlpm.w,IF(OR(_xlpm.n="",_xlpm.n=0,_xlpm.tot=0,_xlpm.w=0),0,ROUND(_xlpm.cum/_xlpm.tot*_xlpm.n,0)-ROUND((_xlpm.cum-_xlpm.w)/_xlpm.tot*_xlpm.n,0)))</f>
        <v>0</v>
      </c>
      <c r="L79" s="691" cm="1">
        <f t="array" aca="1" ref="L79" ca="1">_xlfn.LET(_xlpm.w,INDEX(L$19:L$30,$U79),_xlpm.tot,SUMPRODUCT(L$19:L$30,$T$19:$T$30),_xlpm.n,L$14,_xlpm.cum,SUMPRODUCT((ROW($C$19:$C$30)-18&lt;$U79)*L$19:L$30*$T$19:$T$30)+$V79*_xlpm.w,IF(OR(_xlpm.n="",_xlpm.n=0,_xlpm.tot=0,_xlpm.w=0),0,ROUND(_xlpm.cum/_xlpm.tot*_xlpm.n,0)-ROUND((_xlpm.cum-_xlpm.w)/_xlpm.tot*_xlpm.n,0)))</f>
        <v>0</v>
      </c>
      <c r="M79" s="691" cm="1">
        <f t="array" aca="1" ref="M79" ca="1">_xlfn.LET(_xlpm.w,INDEX(M$19:M$30,$U79),_xlpm.tot,SUMPRODUCT(M$19:M$30,$T$19:$T$30),_xlpm.n,M$14,_xlpm.cum,SUMPRODUCT((ROW($C$19:$C$30)-18&lt;$U79)*M$19:M$30*$T$19:$T$30)+$V79*_xlpm.w,IF(OR(_xlpm.n="",_xlpm.n=0,_xlpm.tot=0,_xlpm.w=0),0,ROUND(_xlpm.cum/_xlpm.tot*_xlpm.n,0)-ROUND((_xlpm.cum-_xlpm.w)/_xlpm.tot*_xlpm.n,0)))</f>
        <v>0</v>
      </c>
      <c r="N79" s="691" cm="1">
        <f t="array" aca="1" ref="N79" ca="1">_xlfn.LET(_xlpm.w,INDEX(N$19:N$30,$U79),_xlpm.tot,SUMPRODUCT(N$19:N$30,$T$19:$T$30),_xlpm.n,N$14,_xlpm.cum,SUMPRODUCT((ROW($C$19:$C$30)-18&lt;$U79)*N$19:N$30*$T$19:$T$30)+$V79*_xlpm.w,IF(OR(_xlpm.n="",_xlpm.n=0,_xlpm.tot=0,_xlpm.w=0),0,ROUND(_xlpm.cum/_xlpm.tot*_xlpm.n,0)-ROUND((_xlpm.cum-_xlpm.w)/_xlpm.tot*_xlpm.n,0)))</f>
        <v>0</v>
      </c>
      <c r="O79" s="691" cm="1">
        <f t="array" aca="1" ref="O79" ca="1">_xlfn.LET(_xlpm.w,INDEX(O$19:O$30,$U79),_xlpm.tot,SUMPRODUCT(O$19:O$30,$T$19:$T$30),_xlpm.n,O$14,_xlpm.cum,SUMPRODUCT((ROW($C$19:$C$30)-18&lt;$U79)*O$19:O$30*$T$19:$T$30)+$V79*_xlpm.w,IF(OR(_xlpm.n="",_xlpm.n=0,_xlpm.tot=0,_xlpm.w=0),0,ROUND(_xlpm.cum/_xlpm.tot*_xlpm.n,0)-ROUND((_xlpm.cum-_xlpm.w)/_xlpm.tot*_xlpm.n,0)))</f>
        <v>0</v>
      </c>
      <c r="P79" s="691" cm="1">
        <f t="array" aca="1" ref="P79" ca="1">_xlfn.LET(_xlpm.w,INDEX(P$19:P$30,$U79),_xlpm.tot,SUMPRODUCT(P$19:P$30,$T$19:$T$30),_xlpm.n,P$14,_xlpm.cum,SUMPRODUCT((ROW($C$19:$C$30)-18&lt;$U79)*P$19:P$30*$T$19:$T$30)+$V79*_xlpm.w,IF(OR(_xlpm.n="",_xlpm.n=0,_xlpm.tot=0,_xlpm.w=0),0,ROUND(_xlpm.cum/_xlpm.tot*_xlpm.n,0)-ROUND((_xlpm.cum-_xlpm.w)/_xlpm.tot*_xlpm.n,0)))</f>
        <v>0</v>
      </c>
      <c r="Q79" s="691" cm="1">
        <f t="array" aca="1" ref="Q79" ca="1">_xlfn.LET(_xlpm.w,INDEX(Q$19:Q$30,$U79),_xlpm.tot,SUMPRODUCT(Q$19:Q$30,$T$19:$T$30),_xlpm.n,Q$14,_xlpm.cum,SUMPRODUCT((ROW($C$19:$C$30)-18&lt;$U79)*Q$19:Q$30*$T$19:$T$30)+$V79*_xlpm.w,IF(OR(_xlpm.n="",_xlpm.n=0,_xlpm.tot=0,_xlpm.w=0),0,ROUND(_xlpm.cum/_xlpm.tot*_xlpm.n,0)-ROUND((_xlpm.cum-_xlpm.w)/_xlpm.tot*_xlpm.n,0)))</f>
        <v>0</v>
      </c>
      <c r="R79" s="691" cm="1">
        <f t="array" aca="1" ref="R79" ca="1">_xlfn.LET(_xlpm.w,INDEX(R$19:R$30,$U79),_xlpm.tot,SUMPRODUCT(R$19:R$30,$T$19:$T$30),_xlpm.n,R$14,_xlpm.cum,SUMPRODUCT((ROW($C$19:$C$30)-18&lt;$U79)*R$19:R$30*$T$19:$T$30)+$V79*_xlpm.w,IF(OR(_xlpm.n="",_xlpm.n=0,_xlpm.tot=0,_xlpm.w=0),0,ROUND(_xlpm.cum/_xlpm.tot*_xlpm.n,0)-ROUND((_xlpm.cum-_xlpm.w)/_xlpm.tot*_xlpm.n,0)))</f>
        <v>0</v>
      </c>
      <c r="S79" s="692">
        <f t="shared" ca="1" si="16"/>
        <v>1</v>
      </c>
      <c r="T79" s="693">
        <f t="shared" ca="1" si="17"/>
        <v>46184</v>
      </c>
      <c r="U79" s="694">
        <f t="shared" ca="1" si="18"/>
        <v>6</v>
      </c>
      <c r="V79" s="694">
        <f ca="1">COUNTIFS($U$56:$U79,$U79)</f>
        <v>2</v>
      </c>
      <c r="W79" s="695">
        <f t="shared" ca="1" si="19"/>
        <v>4.8</v>
      </c>
      <c r="X79" s="696" cm="1">
        <f t="array" aca="1" ref="X79" ca="1">INDEX($U$19:$U$30,$U79)</f>
        <v>20</v>
      </c>
      <c r="Y79" s="697">
        <f t="shared" ca="1" si="20"/>
        <v>0.24</v>
      </c>
      <c r="Z79" s="698" t="str">
        <f t="shared" ca="1" si="21"/>
        <v>OK</v>
      </c>
    </row>
    <row r="80" spans="1:26" ht="13.95" customHeight="1">
      <c r="A80" s="689">
        <f t="shared" si="22"/>
        <v>25</v>
      </c>
      <c r="B80" s="690" t="str" cm="1">
        <f t="array" aca="1" ref="B80" ca="1">INDEX($B$19:$B$30,$U80)</f>
        <v>JUIN</v>
      </c>
      <c r="C80" s="691" cm="1">
        <f t="array" aca="1" ref="C80" ca="1">_xlfn.LET(_xlpm.w,INDEX(C$19:C$30,$U80),_xlpm.tot,SUMPRODUCT(C$19:C$30,$T$19:$T$30),_xlpm.n,C$14,_xlpm.cum,SUMPRODUCT((ROW($C$19:$C$30)-18&lt;$U80)*C$19:C$30*$T$19:$T$30)+$V80*_xlpm.w,IF(OR(_xlpm.n="",_xlpm.n=0,_xlpm.tot=0,_xlpm.w=0),0,ROUND(_xlpm.cum/_xlpm.tot*_xlpm.n,0)-ROUND((_xlpm.cum-_xlpm.w)/_xlpm.tot*_xlpm.n,0)))</f>
        <v>0</v>
      </c>
      <c r="D80" s="691" cm="1">
        <f t="array" aca="1" ref="D80" ca="1">_xlfn.LET(_xlpm.w,INDEX(D$19:D$30,$U80),_xlpm.tot,SUMPRODUCT(D$19:D$30,$T$19:$T$30),_xlpm.n,D$14,_xlpm.cum,SUMPRODUCT((ROW($C$19:$C$30)-18&lt;$U80)*D$19:D$30*$T$19:$T$30)+$V80*_xlpm.w,IF(OR(_xlpm.n="",_xlpm.n=0,_xlpm.tot=0,_xlpm.w=0),0,ROUND(_xlpm.cum/_xlpm.tot*_xlpm.n,0)-ROUND((_xlpm.cum-_xlpm.w)/_xlpm.tot*_xlpm.n,0)))</f>
        <v>0</v>
      </c>
      <c r="E80" s="691" cm="1">
        <f t="array" aca="1" ref="E80" ca="1">_xlfn.LET(_xlpm.w,INDEX(E$19:E$30,$U80),_xlpm.tot,SUMPRODUCT(E$19:E$30,$T$19:$T$30),_xlpm.n,E$14,_xlpm.cum,SUMPRODUCT((ROW($C$19:$C$30)-18&lt;$U80)*E$19:E$30*$T$19:$T$30)+$V80*_xlpm.w,IF(OR(_xlpm.n="",_xlpm.n=0,_xlpm.tot=0,_xlpm.w=0),0,ROUND(_xlpm.cum/_xlpm.tot*_xlpm.n,0)-ROUND((_xlpm.cum-_xlpm.w)/_xlpm.tot*_xlpm.n,0)))</f>
        <v>0</v>
      </c>
      <c r="F80" s="691" cm="1">
        <f t="array" aca="1" ref="F80" ca="1">_xlfn.LET(_xlpm.w,INDEX(F$19:F$30,$U80),_xlpm.tot,SUMPRODUCT(F$19:F$30,$T$19:$T$30),_xlpm.n,F$14,_xlpm.cum,SUMPRODUCT((ROW($C$19:$C$30)-18&lt;$U80)*F$19:F$30*$T$19:$T$30)+$V80*_xlpm.w,IF(OR(_xlpm.n="",_xlpm.n=0,_xlpm.tot=0,_xlpm.w=0),0,ROUND(_xlpm.cum/_xlpm.tot*_xlpm.n,0)-ROUND((_xlpm.cum-_xlpm.w)/_xlpm.tot*_xlpm.n,0)))</f>
        <v>1</v>
      </c>
      <c r="G80" s="691" cm="1">
        <f t="array" aca="1" ref="G80" ca="1">_xlfn.LET(_xlpm.w,INDEX(G$19:G$30,$U80),_xlpm.tot,SUMPRODUCT(G$19:G$30,$T$19:$T$30),_xlpm.n,G$14,_xlpm.cum,SUMPRODUCT((ROW($C$19:$C$30)-18&lt;$U80)*G$19:G$30*$T$19:$T$30)+$V80*_xlpm.w,IF(OR(_xlpm.n="",_xlpm.n=0,_xlpm.tot=0,_xlpm.w=0),0,ROUND(_xlpm.cum/_xlpm.tot*_xlpm.n,0)-ROUND((_xlpm.cum-_xlpm.w)/_xlpm.tot*_xlpm.n,0)))</f>
        <v>0</v>
      </c>
      <c r="H80" s="691" cm="1">
        <f t="array" aca="1" ref="H80" ca="1">_xlfn.LET(_xlpm.w,INDEX(H$19:H$30,$U80),_xlpm.tot,SUMPRODUCT(H$19:H$30,$T$19:$T$30),_xlpm.n,H$14,_xlpm.cum,SUMPRODUCT((ROW($C$19:$C$30)-18&lt;$U80)*H$19:H$30*$T$19:$T$30)+$V80*_xlpm.w,IF(OR(_xlpm.n="",_xlpm.n=0,_xlpm.tot=0,_xlpm.w=0),0,ROUND(_xlpm.cum/_xlpm.tot*_xlpm.n,0)-ROUND((_xlpm.cum-_xlpm.w)/_xlpm.tot*_xlpm.n,0)))</f>
        <v>0</v>
      </c>
      <c r="I80" s="691" cm="1">
        <f t="array" aca="1" ref="I80" ca="1">_xlfn.LET(_xlpm.w,INDEX(I$19:I$30,$U80),_xlpm.tot,SUMPRODUCT(I$19:I$30,$T$19:$T$30),_xlpm.n,I$14,_xlpm.cum,SUMPRODUCT((ROW($C$19:$C$30)-18&lt;$U80)*I$19:I$30*$T$19:$T$30)+$V80*_xlpm.w,IF(OR(_xlpm.n="",_xlpm.n=0,_xlpm.tot=0,_xlpm.w=0),0,ROUND(_xlpm.cum/_xlpm.tot*_xlpm.n,0)-ROUND((_xlpm.cum-_xlpm.w)/_xlpm.tot*_xlpm.n,0)))</f>
        <v>0</v>
      </c>
      <c r="J80" s="691" cm="1">
        <f t="array" aca="1" ref="J80" ca="1">_xlfn.LET(_xlpm.w,INDEX(J$19:J$30,$U80),_xlpm.tot,SUMPRODUCT(J$19:J$30,$T$19:$T$30),_xlpm.n,J$14,_xlpm.cum,SUMPRODUCT((ROW($C$19:$C$30)-18&lt;$U80)*J$19:J$30*$T$19:$T$30)+$V80*_xlpm.w,IF(OR(_xlpm.n="",_xlpm.n=0,_xlpm.tot=0,_xlpm.w=0),0,ROUND(_xlpm.cum/_xlpm.tot*_xlpm.n,0)-ROUND((_xlpm.cum-_xlpm.w)/_xlpm.tot*_xlpm.n,0)))</f>
        <v>0</v>
      </c>
      <c r="K80" s="691" cm="1">
        <f t="array" aca="1" ref="K80" ca="1">_xlfn.LET(_xlpm.w,INDEX(K$19:K$30,$U80),_xlpm.tot,SUMPRODUCT(K$19:K$30,$T$19:$T$30),_xlpm.n,K$14,_xlpm.cum,SUMPRODUCT((ROW($C$19:$C$30)-18&lt;$U80)*K$19:K$30*$T$19:$T$30)+$V80*_xlpm.w,IF(OR(_xlpm.n="",_xlpm.n=0,_xlpm.tot=0,_xlpm.w=0),0,ROUND(_xlpm.cum/_xlpm.tot*_xlpm.n,0)-ROUND((_xlpm.cum-_xlpm.w)/_xlpm.tot*_xlpm.n,0)))</f>
        <v>0</v>
      </c>
      <c r="L80" s="691" cm="1">
        <f t="array" aca="1" ref="L80" ca="1">_xlfn.LET(_xlpm.w,INDEX(L$19:L$30,$U80),_xlpm.tot,SUMPRODUCT(L$19:L$30,$T$19:$T$30),_xlpm.n,L$14,_xlpm.cum,SUMPRODUCT((ROW($C$19:$C$30)-18&lt;$U80)*L$19:L$30*$T$19:$T$30)+$V80*_xlpm.w,IF(OR(_xlpm.n="",_xlpm.n=0,_xlpm.tot=0,_xlpm.w=0),0,ROUND(_xlpm.cum/_xlpm.tot*_xlpm.n,0)-ROUND((_xlpm.cum-_xlpm.w)/_xlpm.tot*_xlpm.n,0)))</f>
        <v>0</v>
      </c>
      <c r="M80" s="691" cm="1">
        <f t="array" aca="1" ref="M80" ca="1">_xlfn.LET(_xlpm.w,INDEX(M$19:M$30,$U80),_xlpm.tot,SUMPRODUCT(M$19:M$30,$T$19:$T$30),_xlpm.n,M$14,_xlpm.cum,SUMPRODUCT((ROW($C$19:$C$30)-18&lt;$U80)*M$19:M$30*$T$19:$T$30)+$V80*_xlpm.w,IF(OR(_xlpm.n="",_xlpm.n=0,_xlpm.tot=0,_xlpm.w=0),0,ROUND(_xlpm.cum/_xlpm.tot*_xlpm.n,0)-ROUND((_xlpm.cum-_xlpm.w)/_xlpm.tot*_xlpm.n,0)))</f>
        <v>0</v>
      </c>
      <c r="N80" s="691" cm="1">
        <f t="array" aca="1" ref="N80" ca="1">_xlfn.LET(_xlpm.w,INDEX(N$19:N$30,$U80),_xlpm.tot,SUMPRODUCT(N$19:N$30,$T$19:$T$30),_xlpm.n,N$14,_xlpm.cum,SUMPRODUCT((ROW($C$19:$C$30)-18&lt;$U80)*N$19:N$30*$T$19:$T$30)+$V80*_xlpm.w,IF(OR(_xlpm.n="",_xlpm.n=0,_xlpm.tot=0,_xlpm.w=0),0,ROUND(_xlpm.cum/_xlpm.tot*_xlpm.n,0)-ROUND((_xlpm.cum-_xlpm.w)/_xlpm.tot*_xlpm.n,0)))</f>
        <v>0</v>
      </c>
      <c r="O80" s="691" cm="1">
        <f t="array" aca="1" ref="O80" ca="1">_xlfn.LET(_xlpm.w,INDEX(O$19:O$30,$U80),_xlpm.tot,SUMPRODUCT(O$19:O$30,$T$19:$T$30),_xlpm.n,O$14,_xlpm.cum,SUMPRODUCT((ROW($C$19:$C$30)-18&lt;$U80)*O$19:O$30*$T$19:$T$30)+$V80*_xlpm.w,IF(OR(_xlpm.n="",_xlpm.n=0,_xlpm.tot=0,_xlpm.w=0),0,ROUND(_xlpm.cum/_xlpm.tot*_xlpm.n,0)-ROUND((_xlpm.cum-_xlpm.w)/_xlpm.tot*_xlpm.n,0)))</f>
        <v>0</v>
      </c>
      <c r="P80" s="691" cm="1">
        <f t="array" aca="1" ref="P80" ca="1">_xlfn.LET(_xlpm.w,INDEX(P$19:P$30,$U80),_xlpm.tot,SUMPRODUCT(P$19:P$30,$T$19:$T$30),_xlpm.n,P$14,_xlpm.cum,SUMPRODUCT((ROW($C$19:$C$30)-18&lt;$U80)*P$19:P$30*$T$19:$T$30)+$V80*_xlpm.w,IF(OR(_xlpm.n="",_xlpm.n=0,_xlpm.tot=0,_xlpm.w=0),0,ROUND(_xlpm.cum/_xlpm.tot*_xlpm.n,0)-ROUND((_xlpm.cum-_xlpm.w)/_xlpm.tot*_xlpm.n,0)))</f>
        <v>0</v>
      </c>
      <c r="Q80" s="691" cm="1">
        <f t="array" aca="1" ref="Q80" ca="1">_xlfn.LET(_xlpm.w,INDEX(Q$19:Q$30,$U80),_xlpm.tot,SUMPRODUCT(Q$19:Q$30,$T$19:$T$30),_xlpm.n,Q$14,_xlpm.cum,SUMPRODUCT((ROW($C$19:$C$30)-18&lt;$U80)*Q$19:Q$30*$T$19:$T$30)+$V80*_xlpm.w,IF(OR(_xlpm.n="",_xlpm.n=0,_xlpm.tot=0,_xlpm.w=0),0,ROUND(_xlpm.cum/_xlpm.tot*_xlpm.n,0)-ROUND((_xlpm.cum-_xlpm.w)/_xlpm.tot*_xlpm.n,0)))</f>
        <v>0</v>
      </c>
      <c r="R80" s="691" cm="1">
        <f t="array" aca="1" ref="R80" ca="1">_xlfn.LET(_xlpm.w,INDEX(R$19:R$30,$U80),_xlpm.tot,SUMPRODUCT(R$19:R$30,$T$19:$T$30),_xlpm.n,R$14,_xlpm.cum,SUMPRODUCT((ROW($C$19:$C$30)-18&lt;$U80)*R$19:R$30*$T$19:$T$30)+$V80*_xlpm.w,IF(OR(_xlpm.n="",_xlpm.n=0,_xlpm.tot=0,_xlpm.w=0),0,ROUND(_xlpm.cum/_xlpm.tot*_xlpm.n,0)-ROUND((_xlpm.cum-_xlpm.w)/_xlpm.tot*_xlpm.n,0)))</f>
        <v>0</v>
      </c>
      <c r="S80" s="692">
        <f t="shared" ca="1" si="16"/>
        <v>1</v>
      </c>
      <c r="T80" s="693">
        <f t="shared" ca="1" si="17"/>
        <v>46191</v>
      </c>
      <c r="U80" s="694">
        <f t="shared" ca="1" si="18"/>
        <v>6</v>
      </c>
      <c r="V80" s="694">
        <f ca="1">COUNTIFS($U$56:$U80,$U80)</f>
        <v>3</v>
      </c>
      <c r="W80" s="695">
        <f t="shared" ca="1" si="19"/>
        <v>4.8</v>
      </c>
      <c r="X80" s="696" cm="1">
        <f t="array" aca="1" ref="X80" ca="1">INDEX($U$19:$U$30,$U80)</f>
        <v>20</v>
      </c>
      <c r="Y80" s="697">
        <f t="shared" ca="1" si="20"/>
        <v>0.24</v>
      </c>
      <c r="Z80" s="698" t="str">
        <f t="shared" ca="1" si="21"/>
        <v>OK</v>
      </c>
    </row>
    <row r="81" spans="1:26" ht="13.95" customHeight="1">
      <c r="A81" s="689">
        <f t="shared" si="22"/>
        <v>26</v>
      </c>
      <c r="B81" s="690" t="str" cm="1">
        <f t="array" aca="1" ref="B81" ca="1">INDEX($B$19:$B$30,$U81)</f>
        <v>JUIN</v>
      </c>
      <c r="C81" s="691" cm="1">
        <f t="array" aca="1" ref="C81" ca="1">_xlfn.LET(_xlpm.w,INDEX(C$19:C$30,$U81),_xlpm.tot,SUMPRODUCT(C$19:C$30,$T$19:$T$30),_xlpm.n,C$14,_xlpm.cum,SUMPRODUCT((ROW($C$19:$C$30)-18&lt;$U81)*C$19:C$30*$T$19:$T$30)+$V81*_xlpm.w,IF(OR(_xlpm.n="",_xlpm.n=0,_xlpm.tot=0,_xlpm.w=0),0,ROUND(_xlpm.cum/_xlpm.tot*_xlpm.n,0)-ROUND((_xlpm.cum-_xlpm.w)/_xlpm.tot*_xlpm.n,0)))</f>
        <v>0</v>
      </c>
      <c r="D81" s="691" cm="1">
        <f t="array" aca="1" ref="D81" ca="1">_xlfn.LET(_xlpm.w,INDEX(D$19:D$30,$U81),_xlpm.tot,SUMPRODUCT(D$19:D$30,$T$19:$T$30),_xlpm.n,D$14,_xlpm.cum,SUMPRODUCT((ROW($C$19:$C$30)-18&lt;$U81)*D$19:D$30*$T$19:$T$30)+$V81*_xlpm.w,IF(OR(_xlpm.n="",_xlpm.n=0,_xlpm.tot=0,_xlpm.w=0),0,ROUND(_xlpm.cum/_xlpm.tot*_xlpm.n,0)-ROUND((_xlpm.cum-_xlpm.w)/_xlpm.tot*_xlpm.n,0)))</f>
        <v>0</v>
      </c>
      <c r="E81" s="691" cm="1">
        <f t="array" aca="1" ref="E81" ca="1">_xlfn.LET(_xlpm.w,INDEX(E$19:E$30,$U81),_xlpm.tot,SUMPRODUCT(E$19:E$30,$T$19:$T$30),_xlpm.n,E$14,_xlpm.cum,SUMPRODUCT((ROW($C$19:$C$30)-18&lt;$U81)*E$19:E$30*$T$19:$T$30)+$V81*_xlpm.w,IF(OR(_xlpm.n="",_xlpm.n=0,_xlpm.tot=0,_xlpm.w=0),0,ROUND(_xlpm.cum/_xlpm.tot*_xlpm.n,0)-ROUND((_xlpm.cum-_xlpm.w)/_xlpm.tot*_xlpm.n,0)))</f>
        <v>0</v>
      </c>
      <c r="F81" s="691" cm="1">
        <f t="array" aca="1" ref="F81" ca="1">_xlfn.LET(_xlpm.w,INDEX(F$19:F$30,$U81),_xlpm.tot,SUMPRODUCT(F$19:F$30,$T$19:$T$30),_xlpm.n,F$14,_xlpm.cum,SUMPRODUCT((ROW($C$19:$C$30)-18&lt;$U81)*F$19:F$30*$T$19:$T$30)+$V81*_xlpm.w,IF(OR(_xlpm.n="",_xlpm.n=0,_xlpm.tot=0,_xlpm.w=0),0,ROUND(_xlpm.cum/_xlpm.tot*_xlpm.n,0)-ROUND((_xlpm.cum-_xlpm.w)/_xlpm.tot*_xlpm.n,0)))</f>
        <v>1</v>
      </c>
      <c r="G81" s="691" cm="1">
        <f t="array" aca="1" ref="G81" ca="1">_xlfn.LET(_xlpm.w,INDEX(G$19:G$30,$U81),_xlpm.tot,SUMPRODUCT(G$19:G$30,$T$19:$T$30),_xlpm.n,G$14,_xlpm.cum,SUMPRODUCT((ROW($C$19:$C$30)-18&lt;$U81)*G$19:G$30*$T$19:$T$30)+$V81*_xlpm.w,IF(OR(_xlpm.n="",_xlpm.n=0,_xlpm.tot=0,_xlpm.w=0),0,ROUND(_xlpm.cum/_xlpm.tot*_xlpm.n,0)-ROUND((_xlpm.cum-_xlpm.w)/_xlpm.tot*_xlpm.n,0)))</f>
        <v>0</v>
      </c>
      <c r="H81" s="691" cm="1">
        <f t="array" aca="1" ref="H81" ca="1">_xlfn.LET(_xlpm.w,INDEX(H$19:H$30,$U81),_xlpm.tot,SUMPRODUCT(H$19:H$30,$T$19:$T$30),_xlpm.n,H$14,_xlpm.cum,SUMPRODUCT((ROW($C$19:$C$30)-18&lt;$U81)*H$19:H$30*$T$19:$T$30)+$V81*_xlpm.w,IF(OR(_xlpm.n="",_xlpm.n=0,_xlpm.tot=0,_xlpm.w=0),0,ROUND(_xlpm.cum/_xlpm.tot*_xlpm.n,0)-ROUND((_xlpm.cum-_xlpm.w)/_xlpm.tot*_xlpm.n,0)))</f>
        <v>0</v>
      </c>
      <c r="I81" s="691" cm="1">
        <f t="array" aca="1" ref="I81" ca="1">_xlfn.LET(_xlpm.w,INDEX(I$19:I$30,$U81),_xlpm.tot,SUMPRODUCT(I$19:I$30,$T$19:$T$30),_xlpm.n,I$14,_xlpm.cum,SUMPRODUCT((ROW($C$19:$C$30)-18&lt;$U81)*I$19:I$30*$T$19:$T$30)+$V81*_xlpm.w,IF(OR(_xlpm.n="",_xlpm.n=0,_xlpm.tot=0,_xlpm.w=0),0,ROUND(_xlpm.cum/_xlpm.tot*_xlpm.n,0)-ROUND((_xlpm.cum-_xlpm.w)/_xlpm.tot*_xlpm.n,0)))</f>
        <v>0</v>
      </c>
      <c r="J81" s="691" cm="1">
        <f t="array" aca="1" ref="J81" ca="1">_xlfn.LET(_xlpm.w,INDEX(J$19:J$30,$U81),_xlpm.tot,SUMPRODUCT(J$19:J$30,$T$19:$T$30),_xlpm.n,J$14,_xlpm.cum,SUMPRODUCT((ROW($C$19:$C$30)-18&lt;$U81)*J$19:J$30*$T$19:$T$30)+$V81*_xlpm.w,IF(OR(_xlpm.n="",_xlpm.n=0,_xlpm.tot=0,_xlpm.w=0),0,ROUND(_xlpm.cum/_xlpm.tot*_xlpm.n,0)-ROUND((_xlpm.cum-_xlpm.w)/_xlpm.tot*_xlpm.n,0)))</f>
        <v>0</v>
      </c>
      <c r="K81" s="691" cm="1">
        <f t="array" aca="1" ref="K81" ca="1">_xlfn.LET(_xlpm.w,INDEX(K$19:K$30,$U81),_xlpm.tot,SUMPRODUCT(K$19:K$30,$T$19:$T$30),_xlpm.n,K$14,_xlpm.cum,SUMPRODUCT((ROW($C$19:$C$30)-18&lt;$U81)*K$19:K$30*$T$19:$T$30)+$V81*_xlpm.w,IF(OR(_xlpm.n="",_xlpm.n=0,_xlpm.tot=0,_xlpm.w=0),0,ROUND(_xlpm.cum/_xlpm.tot*_xlpm.n,0)-ROUND((_xlpm.cum-_xlpm.w)/_xlpm.tot*_xlpm.n,0)))</f>
        <v>0</v>
      </c>
      <c r="L81" s="691" cm="1">
        <f t="array" aca="1" ref="L81" ca="1">_xlfn.LET(_xlpm.w,INDEX(L$19:L$30,$U81),_xlpm.tot,SUMPRODUCT(L$19:L$30,$T$19:$T$30),_xlpm.n,L$14,_xlpm.cum,SUMPRODUCT((ROW($C$19:$C$30)-18&lt;$U81)*L$19:L$30*$T$19:$T$30)+$V81*_xlpm.w,IF(OR(_xlpm.n="",_xlpm.n=0,_xlpm.tot=0,_xlpm.w=0),0,ROUND(_xlpm.cum/_xlpm.tot*_xlpm.n,0)-ROUND((_xlpm.cum-_xlpm.w)/_xlpm.tot*_xlpm.n,0)))</f>
        <v>0</v>
      </c>
      <c r="M81" s="691" cm="1">
        <f t="array" aca="1" ref="M81" ca="1">_xlfn.LET(_xlpm.w,INDEX(M$19:M$30,$U81),_xlpm.tot,SUMPRODUCT(M$19:M$30,$T$19:$T$30),_xlpm.n,M$14,_xlpm.cum,SUMPRODUCT((ROW($C$19:$C$30)-18&lt;$U81)*M$19:M$30*$T$19:$T$30)+$V81*_xlpm.w,IF(OR(_xlpm.n="",_xlpm.n=0,_xlpm.tot=0,_xlpm.w=0),0,ROUND(_xlpm.cum/_xlpm.tot*_xlpm.n,0)-ROUND((_xlpm.cum-_xlpm.w)/_xlpm.tot*_xlpm.n,0)))</f>
        <v>0</v>
      </c>
      <c r="N81" s="691" cm="1">
        <f t="array" aca="1" ref="N81" ca="1">_xlfn.LET(_xlpm.w,INDEX(N$19:N$30,$U81),_xlpm.tot,SUMPRODUCT(N$19:N$30,$T$19:$T$30),_xlpm.n,N$14,_xlpm.cum,SUMPRODUCT((ROW($C$19:$C$30)-18&lt;$U81)*N$19:N$30*$T$19:$T$30)+$V81*_xlpm.w,IF(OR(_xlpm.n="",_xlpm.n=0,_xlpm.tot=0,_xlpm.w=0),0,ROUND(_xlpm.cum/_xlpm.tot*_xlpm.n,0)-ROUND((_xlpm.cum-_xlpm.w)/_xlpm.tot*_xlpm.n,0)))</f>
        <v>0</v>
      </c>
      <c r="O81" s="691" cm="1">
        <f t="array" aca="1" ref="O81" ca="1">_xlfn.LET(_xlpm.w,INDEX(O$19:O$30,$U81),_xlpm.tot,SUMPRODUCT(O$19:O$30,$T$19:$T$30),_xlpm.n,O$14,_xlpm.cum,SUMPRODUCT((ROW($C$19:$C$30)-18&lt;$U81)*O$19:O$30*$T$19:$T$30)+$V81*_xlpm.w,IF(OR(_xlpm.n="",_xlpm.n=0,_xlpm.tot=0,_xlpm.w=0),0,ROUND(_xlpm.cum/_xlpm.tot*_xlpm.n,0)-ROUND((_xlpm.cum-_xlpm.w)/_xlpm.tot*_xlpm.n,0)))</f>
        <v>0</v>
      </c>
      <c r="P81" s="691" cm="1">
        <f t="array" aca="1" ref="P81" ca="1">_xlfn.LET(_xlpm.w,INDEX(P$19:P$30,$U81),_xlpm.tot,SUMPRODUCT(P$19:P$30,$T$19:$T$30),_xlpm.n,P$14,_xlpm.cum,SUMPRODUCT((ROW($C$19:$C$30)-18&lt;$U81)*P$19:P$30*$T$19:$T$30)+$V81*_xlpm.w,IF(OR(_xlpm.n="",_xlpm.n=0,_xlpm.tot=0,_xlpm.w=0),0,ROUND(_xlpm.cum/_xlpm.tot*_xlpm.n,0)-ROUND((_xlpm.cum-_xlpm.w)/_xlpm.tot*_xlpm.n,0)))</f>
        <v>0</v>
      </c>
      <c r="Q81" s="691" cm="1">
        <f t="array" aca="1" ref="Q81" ca="1">_xlfn.LET(_xlpm.w,INDEX(Q$19:Q$30,$U81),_xlpm.tot,SUMPRODUCT(Q$19:Q$30,$T$19:$T$30),_xlpm.n,Q$14,_xlpm.cum,SUMPRODUCT((ROW($C$19:$C$30)-18&lt;$U81)*Q$19:Q$30*$T$19:$T$30)+$V81*_xlpm.w,IF(OR(_xlpm.n="",_xlpm.n=0,_xlpm.tot=0,_xlpm.w=0),0,ROUND(_xlpm.cum/_xlpm.tot*_xlpm.n,0)-ROUND((_xlpm.cum-_xlpm.w)/_xlpm.tot*_xlpm.n,0)))</f>
        <v>0</v>
      </c>
      <c r="R81" s="691" cm="1">
        <f t="array" aca="1" ref="R81" ca="1">_xlfn.LET(_xlpm.w,INDEX(R$19:R$30,$U81),_xlpm.tot,SUMPRODUCT(R$19:R$30,$T$19:$T$30),_xlpm.n,R$14,_xlpm.cum,SUMPRODUCT((ROW($C$19:$C$30)-18&lt;$U81)*R$19:R$30*$T$19:$T$30)+$V81*_xlpm.w,IF(OR(_xlpm.n="",_xlpm.n=0,_xlpm.tot=0,_xlpm.w=0),0,ROUND(_xlpm.cum/_xlpm.tot*_xlpm.n,0)-ROUND((_xlpm.cum-_xlpm.w)/_xlpm.tot*_xlpm.n,0)))</f>
        <v>0</v>
      </c>
      <c r="S81" s="692">
        <f t="shared" ca="1" si="16"/>
        <v>1</v>
      </c>
      <c r="T81" s="693">
        <f t="shared" ca="1" si="17"/>
        <v>46198</v>
      </c>
      <c r="U81" s="694">
        <f t="shared" ca="1" si="18"/>
        <v>6</v>
      </c>
      <c r="V81" s="694">
        <f ca="1">COUNTIFS($U$56:$U81,$U81)</f>
        <v>4</v>
      </c>
      <c r="W81" s="695">
        <f t="shared" ca="1" si="19"/>
        <v>4.8</v>
      </c>
      <c r="X81" s="696" cm="1">
        <f t="array" aca="1" ref="X81" ca="1">INDEX($U$19:$U$30,$U81)</f>
        <v>20</v>
      </c>
      <c r="Y81" s="697">
        <f t="shared" ca="1" si="20"/>
        <v>0.24</v>
      </c>
      <c r="Z81" s="698" t="str">
        <f t="shared" ca="1" si="21"/>
        <v>OK</v>
      </c>
    </row>
    <row r="82" spans="1:26" ht="13.95" customHeight="1">
      <c r="A82" s="689">
        <f t="shared" si="22"/>
        <v>27</v>
      </c>
      <c r="B82" s="690" t="str" cm="1">
        <f t="array" aca="1" ref="B82" ca="1">INDEX($B$19:$B$30,$U82)</f>
        <v>JUILLET</v>
      </c>
      <c r="C82" s="691" cm="1">
        <f t="array" aca="1" ref="C82" ca="1">_xlfn.LET(_xlpm.w,INDEX(C$19:C$30,$U82),_xlpm.tot,SUMPRODUCT(C$19:C$30,$T$19:$T$30),_xlpm.n,C$14,_xlpm.cum,SUMPRODUCT((ROW($C$19:$C$30)-18&lt;$U82)*C$19:C$30*$T$19:$T$30)+$V82*_xlpm.w,IF(OR(_xlpm.n="",_xlpm.n=0,_xlpm.tot=0,_xlpm.w=0),0,ROUND(_xlpm.cum/_xlpm.tot*_xlpm.n,0)-ROUND((_xlpm.cum-_xlpm.w)/_xlpm.tot*_xlpm.n,0)))</f>
        <v>1</v>
      </c>
      <c r="D82" s="691" cm="1">
        <f t="array" aca="1" ref="D82" ca="1">_xlfn.LET(_xlpm.w,INDEX(D$19:D$30,$U82),_xlpm.tot,SUMPRODUCT(D$19:D$30,$T$19:$T$30),_xlpm.n,D$14,_xlpm.cum,SUMPRODUCT((ROW($C$19:$C$30)-18&lt;$U82)*D$19:D$30*$T$19:$T$30)+$V82*_xlpm.w,IF(OR(_xlpm.n="",_xlpm.n=0,_xlpm.tot=0,_xlpm.w=0),0,ROUND(_xlpm.cum/_xlpm.tot*_xlpm.n,0)-ROUND((_xlpm.cum-_xlpm.w)/_xlpm.tot*_xlpm.n,0)))</f>
        <v>0</v>
      </c>
      <c r="E82" s="691" cm="1">
        <f t="array" aca="1" ref="E82" ca="1">_xlfn.LET(_xlpm.w,INDEX(E$19:E$30,$U82),_xlpm.tot,SUMPRODUCT(E$19:E$30,$T$19:$T$30),_xlpm.n,E$14,_xlpm.cum,SUMPRODUCT((ROW($C$19:$C$30)-18&lt;$U82)*E$19:E$30*$T$19:$T$30)+$V82*_xlpm.w,IF(OR(_xlpm.n="",_xlpm.n=0,_xlpm.tot=0,_xlpm.w=0),0,ROUND(_xlpm.cum/_xlpm.tot*_xlpm.n,0)-ROUND((_xlpm.cum-_xlpm.w)/_xlpm.tot*_xlpm.n,0)))</f>
        <v>0</v>
      </c>
      <c r="F82" s="691" cm="1">
        <f t="array" aca="1" ref="F82" ca="1">_xlfn.LET(_xlpm.w,INDEX(F$19:F$30,$U82),_xlpm.tot,SUMPRODUCT(F$19:F$30,$T$19:$T$30),_xlpm.n,F$14,_xlpm.cum,SUMPRODUCT((ROW($C$19:$C$30)-18&lt;$U82)*F$19:F$30*$T$19:$T$30)+$V82*_xlpm.w,IF(OR(_xlpm.n="",_xlpm.n=0,_xlpm.tot=0,_xlpm.w=0),0,ROUND(_xlpm.cum/_xlpm.tot*_xlpm.n,0)-ROUND((_xlpm.cum-_xlpm.w)/_xlpm.tot*_xlpm.n,0)))</f>
        <v>0</v>
      </c>
      <c r="G82" s="691" cm="1">
        <f t="array" aca="1" ref="G82" ca="1">_xlfn.LET(_xlpm.w,INDEX(G$19:G$30,$U82),_xlpm.tot,SUMPRODUCT(G$19:G$30,$T$19:$T$30),_xlpm.n,G$14,_xlpm.cum,SUMPRODUCT((ROW($C$19:$C$30)-18&lt;$U82)*G$19:G$30*$T$19:$T$30)+$V82*_xlpm.w,IF(OR(_xlpm.n="",_xlpm.n=0,_xlpm.tot=0,_xlpm.w=0),0,ROUND(_xlpm.cum/_xlpm.tot*_xlpm.n,0)-ROUND((_xlpm.cum-_xlpm.w)/_xlpm.tot*_xlpm.n,0)))</f>
        <v>0</v>
      </c>
      <c r="H82" s="691" cm="1">
        <f t="array" aca="1" ref="H82" ca="1">_xlfn.LET(_xlpm.w,INDEX(H$19:H$30,$U82),_xlpm.tot,SUMPRODUCT(H$19:H$30,$T$19:$T$30),_xlpm.n,H$14,_xlpm.cum,SUMPRODUCT((ROW($C$19:$C$30)-18&lt;$U82)*H$19:H$30*$T$19:$T$30)+$V82*_xlpm.w,IF(OR(_xlpm.n="",_xlpm.n=0,_xlpm.tot=0,_xlpm.w=0),0,ROUND(_xlpm.cum/_xlpm.tot*_xlpm.n,0)-ROUND((_xlpm.cum-_xlpm.w)/_xlpm.tot*_xlpm.n,0)))</f>
        <v>0</v>
      </c>
      <c r="I82" s="691" cm="1">
        <f t="array" aca="1" ref="I82" ca="1">_xlfn.LET(_xlpm.w,INDEX(I$19:I$30,$U82),_xlpm.tot,SUMPRODUCT(I$19:I$30,$T$19:$T$30),_xlpm.n,I$14,_xlpm.cum,SUMPRODUCT((ROW($C$19:$C$30)-18&lt;$U82)*I$19:I$30*$T$19:$T$30)+$V82*_xlpm.w,IF(OR(_xlpm.n="",_xlpm.n=0,_xlpm.tot=0,_xlpm.w=0),0,ROUND(_xlpm.cum/_xlpm.tot*_xlpm.n,0)-ROUND((_xlpm.cum-_xlpm.w)/_xlpm.tot*_xlpm.n,0)))</f>
        <v>0</v>
      </c>
      <c r="J82" s="691" cm="1">
        <f t="array" aca="1" ref="J82" ca="1">_xlfn.LET(_xlpm.w,INDEX(J$19:J$30,$U82),_xlpm.tot,SUMPRODUCT(J$19:J$30,$T$19:$T$30),_xlpm.n,J$14,_xlpm.cum,SUMPRODUCT((ROW($C$19:$C$30)-18&lt;$U82)*J$19:J$30*$T$19:$T$30)+$V82*_xlpm.w,IF(OR(_xlpm.n="",_xlpm.n=0,_xlpm.tot=0,_xlpm.w=0),0,ROUND(_xlpm.cum/_xlpm.tot*_xlpm.n,0)-ROUND((_xlpm.cum-_xlpm.w)/_xlpm.tot*_xlpm.n,0)))</f>
        <v>0</v>
      </c>
      <c r="K82" s="691" cm="1">
        <f t="array" aca="1" ref="K82" ca="1">_xlfn.LET(_xlpm.w,INDEX(K$19:K$30,$U82),_xlpm.tot,SUMPRODUCT(K$19:K$30,$T$19:$T$30),_xlpm.n,K$14,_xlpm.cum,SUMPRODUCT((ROW($C$19:$C$30)-18&lt;$U82)*K$19:K$30*$T$19:$T$30)+$V82*_xlpm.w,IF(OR(_xlpm.n="",_xlpm.n=0,_xlpm.tot=0,_xlpm.w=0),0,ROUND(_xlpm.cum/_xlpm.tot*_xlpm.n,0)-ROUND((_xlpm.cum-_xlpm.w)/_xlpm.tot*_xlpm.n,0)))</f>
        <v>0</v>
      </c>
      <c r="L82" s="691" cm="1">
        <f t="array" aca="1" ref="L82" ca="1">_xlfn.LET(_xlpm.w,INDEX(L$19:L$30,$U82),_xlpm.tot,SUMPRODUCT(L$19:L$30,$T$19:$T$30),_xlpm.n,L$14,_xlpm.cum,SUMPRODUCT((ROW($C$19:$C$30)-18&lt;$U82)*L$19:L$30*$T$19:$T$30)+$V82*_xlpm.w,IF(OR(_xlpm.n="",_xlpm.n=0,_xlpm.tot=0,_xlpm.w=0),0,ROUND(_xlpm.cum/_xlpm.tot*_xlpm.n,0)-ROUND((_xlpm.cum-_xlpm.w)/_xlpm.tot*_xlpm.n,0)))</f>
        <v>0</v>
      </c>
      <c r="M82" s="691" cm="1">
        <f t="array" aca="1" ref="M82" ca="1">_xlfn.LET(_xlpm.w,INDEX(M$19:M$30,$U82),_xlpm.tot,SUMPRODUCT(M$19:M$30,$T$19:$T$30),_xlpm.n,M$14,_xlpm.cum,SUMPRODUCT((ROW($C$19:$C$30)-18&lt;$U82)*M$19:M$30*$T$19:$T$30)+$V82*_xlpm.w,IF(OR(_xlpm.n="",_xlpm.n=0,_xlpm.tot=0,_xlpm.w=0),0,ROUND(_xlpm.cum/_xlpm.tot*_xlpm.n,0)-ROUND((_xlpm.cum-_xlpm.w)/_xlpm.tot*_xlpm.n,0)))</f>
        <v>0</v>
      </c>
      <c r="N82" s="691" cm="1">
        <f t="array" aca="1" ref="N82" ca="1">_xlfn.LET(_xlpm.w,INDEX(N$19:N$30,$U82),_xlpm.tot,SUMPRODUCT(N$19:N$30,$T$19:$T$30),_xlpm.n,N$14,_xlpm.cum,SUMPRODUCT((ROW($C$19:$C$30)-18&lt;$U82)*N$19:N$30*$T$19:$T$30)+$V82*_xlpm.w,IF(OR(_xlpm.n="",_xlpm.n=0,_xlpm.tot=0,_xlpm.w=0),0,ROUND(_xlpm.cum/_xlpm.tot*_xlpm.n,0)-ROUND((_xlpm.cum-_xlpm.w)/_xlpm.tot*_xlpm.n,0)))</f>
        <v>0</v>
      </c>
      <c r="O82" s="691" cm="1">
        <f t="array" aca="1" ref="O82" ca="1">_xlfn.LET(_xlpm.w,INDEX(O$19:O$30,$U82),_xlpm.tot,SUMPRODUCT(O$19:O$30,$T$19:$T$30),_xlpm.n,O$14,_xlpm.cum,SUMPRODUCT((ROW($C$19:$C$30)-18&lt;$U82)*O$19:O$30*$T$19:$T$30)+$V82*_xlpm.w,IF(OR(_xlpm.n="",_xlpm.n=0,_xlpm.tot=0,_xlpm.w=0),0,ROUND(_xlpm.cum/_xlpm.tot*_xlpm.n,0)-ROUND((_xlpm.cum-_xlpm.w)/_xlpm.tot*_xlpm.n,0)))</f>
        <v>0</v>
      </c>
      <c r="P82" s="691" cm="1">
        <f t="array" aca="1" ref="P82" ca="1">_xlfn.LET(_xlpm.w,INDEX(P$19:P$30,$U82),_xlpm.tot,SUMPRODUCT(P$19:P$30,$T$19:$T$30),_xlpm.n,P$14,_xlpm.cum,SUMPRODUCT((ROW($C$19:$C$30)-18&lt;$U82)*P$19:P$30*$T$19:$T$30)+$V82*_xlpm.w,IF(OR(_xlpm.n="",_xlpm.n=0,_xlpm.tot=0,_xlpm.w=0),0,ROUND(_xlpm.cum/_xlpm.tot*_xlpm.n,0)-ROUND((_xlpm.cum-_xlpm.w)/_xlpm.tot*_xlpm.n,0)))</f>
        <v>0</v>
      </c>
      <c r="Q82" s="691" cm="1">
        <f t="array" aca="1" ref="Q82" ca="1">_xlfn.LET(_xlpm.w,INDEX(Q$19:Q$30,$U82),_xlpm.tot,SUMPRODUCT(Q$19:Q$30,$T$19:$T$30),_xlpm.n,Q$14,_xlpm.cum,SUMPRODUCT((ROW($C$19:$C$30)-18&lt;$U82)*Q$19:Q$30*$T$19:$T$30)+$V82*_xlpm.w,IF(OR(_xlpm.n="",_xlpm.n=0,_xlpm.tot=0,_xlpm.w=0),0,ROUND(_xlpm.cum/_xlpm.tot*_xlpm.n,0)-ROUND((_xlpm.cum-_xlpm.w)/_xlpm.tot*_xlpm.n,0)))</f>
        <v>0</v>
      </c>
      <c r="R82" s="691" cm="1">
        <f t="array" aca="1" ref="R82" ca="1">_xlfn.LET(_xlpm.w,INDEX(R$19:R$30,$U82),_xlpm.tot,SUMPRODUCT(R$19:R$30,$T$19:$T$30),_xlpm.n,R$14,_xlpm.cum,SUMPRODUCT((ROW($C$19:$C$30)-18&lt;$U82)*R$19:R$30*$T$19:$T$30)+$V82*_xlpm.w,IF(OR(_xlpm.n="",_xlpm.n=0,_xlpm.tot=0,_xlpm.w=0),0,ROUND(_xlpm.cum/_xlpm.tot*_xlpm.n,0)-ROUND((_xlpm.cum-_xlpm.w)/_xlpm.tot*_xlpm.n,0)))</f>
        <v>0</v>
      </c>
      <c r="S82" s="692">
        <f t="shared" ca="1" si="16"/>
        <v>1</v>
      </c>
      <c r="T82" s="693">
        <f t="shared" ca="1" si="17"/>
        <v>46205</v>
      </c>
      <c r="U82" s="694">
        <f t="shared" ca="1" si="18"/>
        <v>7</v>
      </c>
      <c r="V82" s="694">
        <f ca="1">COUNTIFS($U$56:$U82,$U82)</f>
        <v>1</v>
      </c>
      <c r="W82" s="695">
        <f t="shared" ca="1" si="19"/>
        <v>4.8</v>
      </c>
      <c r="X82" s="696" cm="1">
        <f t="array" aca="1" ref="X82" ca="1">INDEX($U$19:$U$30,$U82)</f>
        <v>20</v>
      </c>
      <c r="Y82" s="697">
        <f t="shared" ca="1" si="20"/>
        <v>0.24</v>
      </c>
      <c r="Z82" s="698" t="str">
        <f t="shared" ca="1" si="21"/>
        <v>OK</v>
      </c>
    </row>
    <row r="83" spans="1:26" ht="13.95" customHeight="1">
      <c r="A83" s="689">
        <f t="shared" si="22"/>
        <v>28</v>
      </c>
      <c r="B83" s="690" t="str" cm="1">
        <f t="array" aca="1" ref="B83" ca="1">INDEX($B$19:$B$30,$U83)</f>
        <v>JUILLET</v>
      </c>
      <c r="C83" s="691" cm="1">
        <f t="array" aca="1" ref="C83" ca="1">_xlfn.LET(_xlpm.w,INDEX(C$19:C$30,$U83),_xlpm.tot,SUMPRODUCT(C$19:C$30,$T$19:$T$30),_xlpm.n,C$14,_xlpm.cum,SUMPRODUCT((ROW($C$19:$C$30)-18&lt;$U83)*C$19:C$30*$T$19:$T$30)+$V83*_xlpm.w,IF(OR(_xlpm.n="",_xlpm.n=0,_xlpm.tot=0,_xlpm.w=0),0,ROUND(_xlpm.cum/_xlpm.tot*_xlpm.n,0)-ROUND((_xlpm.cum-_xlpm.w)/_xlpm.tot*_xlpm.n,0)))</f>
        <v>0</v>
      </c>
      <c r="D83" s="691" cm="1">
        <f t="array" aca="1" ref="D83" ca="1">_xlfn.LET(_xlpm.w,INDEX(D$19:D$30,$U83),_xlpm.tot,SUMPRODUCT(D$19:D$30,$T$19:$T$30),_xlpm.n,D$14,_xlpm.cum,SUMPRODUCT((ROW($C$19:$C$30)-18&lt;$U83)*D$19:D$30*$T$19:$T$30)+$V83*_xlpm.w,IF(OR(_xlpm.n="",_xlpm.n=0,_xlpm.tot=0,_xlpm.w=0),0,ROUND(_xlpm.cum/_xlpm.tot*_xlpm.n,0)-ROUND((_xlpm.cum-_xlpm.w)/_xlpm.tot*_xlpm.n,0)))</f>
        <v>0</v>
      </c>
      <c r="E83" s="691" cm="1">
        <f t="array" aca="1" ref="E83" ca="1">_xlfn.LET(_xlpm.w,INDEX(E$19:E$30,$U83),_xlpm.tot,SUMPRODUCT(E$19:E$30,$T$19:$T$30),_xlpm.n,E$14,_xlpm.cum,SUMPRODUCT((ROW($C$19:$C$30)-18&lt;$U83)*E$19:E$30*$T$19:$T$30)+$V83*_xlpm.w,IF(OR(_xlpm.n="",_xlpm.n=0,_xlpm.tot=0,_xlpm.w=0),0,ROUND(_xlpm.cum/_xlpm.tot*_xlpm.n,0)-ROUND((_xlpm.cum-_xlpm.w)/_xlpm.tot*_xlpm.n,0)))</f>
        <v>0</v>
      </c>
      <c r="F83" s="691" cm="1">
        <f t="array" aca="1" ref="F83" ca="1">_xlfn.LET(_xlpm.w,INDEX(F$19:F$30,$U83),_xlpm.tot,SUMPRODUCT(F$19:F$30,$T$19:$T$30),_xlpm.n,F$14,_xlpm.cum,SUMPRODUCT((ROW($C$19:$C$30)-18&lt;$U83)*F$19:F$30*$T$19:$T$30)+$V83*_xlpm.w,IF(OR(_xlpm.n="",_xlpm.n=0,_xlpm.tot=0,_xlpm.w=0),0,ROUND(_xlpm.cum/_xlpm.tot*_xlpm.n,0)-ROUND((_xlpm.cum-_xlpm.w)/_xlpm.tot*_xlpm.n,0)))</f>
        <v>1</v>
      </c>
      <c r="G83" s="691" cm="1">
        <f t="array" aca="1" ref="G83" ca="1">_xlfn.LET(_xlpm.w,INDEX(G$19:G$30,$U83),_xlpm.tot,SUMPRODUCT(G$19:G$30,$T$19:$T$30),_xlpm.n,G$14,_xlpm.cum,SUMPRODUCT((ROW($C$19:$C$30)-18&lt;$U83)*G$19:G$30*$T$19:$T$30)+$V83*_xlpm.w,IF(OR(_xlpm.n="",_xlpm.n=0,_xlpm.tot=0,_xlpm.w=0),0,ROUND(_xlpm.cum/_xlpm.tot*_xlpm.n,0)-ROUND((_xlpm.cum-_xlpm.w)/_xlpm.tot*_xlpm.n,0)))</f>
        <v>0</v>
      </c>
      <c r="H83" s="691" cm="1">
        <f t="array" aca="1" ref="H83" ca="1">_xlfn.LET(_xlpm.w,INDEX(H$19:H$30,$U83),_xlpm.tot,SUMPRODUCT(H$19:H$30,$T$19:$T$30),_xlpm.n,H$14,_xlpm.cum,SUMPRODUCT((ROW($C$19:$C$30)-18&lt;$U83)*H$19:H$30*$T$19:$T$30)+$V83*_xlpm.w,IF(OR(_xlpm.n="",_xlpm.n=0,_xlpm.tot=0,_xlpm.w=0),0,ROUND(_xlpm.cum/_xlpm.tot*_xlpm.n,0)-ROUND((_xlpm.cum-_xlpm.w)/_xlpm.tot*_xlpm.n,0)))</f>
        <v>0</v>
      </c>
      <c r="I83" s="691" cm="1">
        <f t="array" aca="1" ref="I83" ca="1">_xlfn.LET(_xlpm.w,INDEX(I$19:I$30,$U83),_xlpm.tot,SUMPRODUCT(I$19:I$30,$T$19:$T$30),_xlpm.n,I$14,_xlpm.cum,SUMPRODUCT((ROW($C$19:$C$30)-18&lt;$U83)*I$19:I$30*$T$19:$T$30)+$V83*_xlpm.w,IF(OR(_xlpm.n="",_xlpm.n=0,_xlpm.tot=0,_xlpm.w=0),0,ROUND(_xlpm.cum/_xlpm.tot*_xlpm.n,0)-ROUND((_xlpm.cum-_xlpm.w)/_xlpm.tot*_xlpm.n,0)))</f>
        <v>0</v>
      </c>
      <c r="J83" s="691" cm="1">
        <f t="array" aca="1" ref="J83" ca="1">_xlfn.LET(_xlpm.w,INDEX(J$19:J$30,$U83),_xlpm.tot,SUMPRODUCT(J$19:J$30,$T$19:$T$30),_xlpm.n,J$14,_xlpm.cum,SUMPRODUCT((ROW($C$19:$C$30)-18&lt;$U83)*J$19:J$30*$T$19:$T$30)+$V83*_xlpm.w,IF(OR(_xlpm.n="",_xlpm.n=0,_xlpm.tot=0,_xlpm.w=0),0,ROUND(_xlpm.cum/_xlpm.tot*_xlpm.n,0)-ROUND((_xlpm.cum-_xlpm.w)/_xlpm.tot*_xlpm.n,0)))</f>
        <v>0</v>
      </c>
      <c r="K83" s="691" cm="1">
        <f t="array" aca="1" ref="K83" ca="1">_xlfn.LET(_xlpm.w,INDEX(K$19:K$30,$U83),_xlpm.tot,SUMPRODUCT(K$19:K$30,$T$19:$T$30),_xlpm.n,K$14,_xlpm.cum,SUMPRODUCT((ROW($C$19:$C$30)-18&lt;$U83)*K$19:K$30*$T$19:$T$30)+$V83*_xlpm.w,IF(OR(_xlpm.n="",_xlpm.n=0,_xlpm.tot=0,_xlpm.w=0),0,ROUND(_xlpm.cum/_xlpm.tot*_xlpm.n,0)-ROUND((_xlpm.cum-_xlpm.w)/_xlpm.tot*_xlpm.n,0)))</f>
        <v>0</v>
      </c>
      <c r="L83" s="691" cm="1">
        <f t="array" aca="1" ref="L83" ca="1">_xlfn.LET(_xlpm.w,INDEX(L$19:L$30,$U83),_xlpm.tot,SUMPRODUCT(L$19:L$30,$T$19:$T$30),_xlpm.n,L$14,_xlpm.cum,SUMPRODUCT((ROW($C$19:$C$30)-18&lt;$U83)*L$19:L$30*$T$19:$T$30)+$V83*_xlpm.w,IF(OR(_xlpm.n="",_xlpm.n=0,_xlpm.tot=0,_xlpm.w=0),0,ROUND(_xlpm.cum/_xlpm.tot*_xlpm.n,0)-ROUND((_xlpm.cum-_xlpm.w)/_xlpm.tot*_xlpm.n,0)))</f>
        <v>0</v>
      </c>
      <c r="M83" s="691" cm="1">
        <f t="array" aca="1" ref="M83" ca="1">_xlfn.LET(_xlpm.w,INDEX(M$19:M$30,$U83),_xlpm.tot,SUMPRODUCT(M$19:M$30,$T$19:$T$30),_xlpm.n,M$14,_xlpm.cum,SUMPRODUCT((ROW($C$19:$C$30)-18&lt;$U83)*M$19:M$30*$T$19:$T$30)+$V83*_xlpm.w,IF(OR(_xlpm.n="",_xlpm.n=0,_xlpm.tot=0,_xlpm.w=0),0,ROUND(_xlpm.cum/_xlpm.tot*_xlpm.n,0)-ROUND((_xlpm.cum-_xlpm.w)/_xlpm.tot*_xlpm.n,0)))</f>
        <v>0</v>
      </c>
      <c r="N83" s="691" cm="1">
        <f t="array" aca="1" ref="N83" ca="1">_xlfn.LET(_xlpm.w,INDEX(N$19:N$30,$U83),_xlpm.tot,SUMPRODUCT(N$19:N$30,$T$19:$T$30),_xlpm.n,N$14,_xlpm.cum,SUMPRODUCT((ROW($C$19:$C$30)-18&lt;$U83)*N$19:N$30*$T$19:$T$30)+$V83*_xlpm.w,IF(OR(_xlpm.n="",_xlpm.n=0,_xlpm.tot=0,_xlpm.w=0),0,ROUND(_xlpm.cum/_xlpm.tot*_xlpm.n,0)-ROUND((_xlpm.cum-_xlpm.w)/_xlpm.tot*_xlpm.n,0)))</f>
        <v>0</v>
      </c>
      <c r="O83" s="691" cm="1">
        <f t="array" aca="1" ref="O83" ca="1">_xlfn.LET(_xlpm.w,INDEX(O$19:O$30,$U83),_xlpm.tot,SUMPRODUCT(O$19:O$30,$T$19:$T$30),_xlpm.n,O$14,_xlpm.cum,SUMPRODUCT((ROW($C$19:$C$30)-18&lt;$U83)*O$19:O$30*$T$19:$T$30)+$V83*_xlpm.w,IF(OR(_xlpm.n="",_xlpm.n=0,_xlpm.tot=0,_xlpm.w=0),0,ROUND(_xlpm.cum/_xlpm.tot*_xlpm.n,0)-ROUND((_xlpm.cum-_xlpm.w)/_xlpm.tot*_xlpm.n,0)))</f>
        <v>0</v>
      </c>
      <c r="P83" s="691" cm="1">
        <f t="array" aca="1" ref="P83" ca="1">_xlfn.LET(_xlpm.w,INDEX(P$19:P$30,$U83),_xlpm.tot,SUMPRODUCT(P$19:P$30,$T$19:$T$30),_xlpm.n,P$14,_xlpm.cum,SUMPRODUCT((ROW($C$19:$C$30)-18&lt;$U83)*P$19:P$30*$T$19:$T$30)+$V83*_xlpm.w,IF(OR(_xlpm.n="",_xlpm.n=0,_xlpm.tot=0,_xlpm.w=0),0,ROUND(_xlpm.cum/_xlpm.tot*_xlpm.n,0)-ROUND((_xlpm.cum-_xlpm.w)/_xlpm.tot*_xlpm.n,0)))</f>
        <v>0</v>
      </c>
      <c r="Q83" s="691" cm="1">
        <f t="array" aca="1" ref="Q83" ca="1">_xlfn.LET(_xlpm.w,INDEX(Q$19:Q$30,$U83),_xlpm.tot,SUMPRODUCT(Q$19:Q$30,$T$19:$T$30),_xlpm.n,Q$14,_xlpm.cum,SUMPRODUCT((ROW($C$19:$C$30)-18&lt;$U83)*Q$19:Q$30*$T$19:$T$30)+$V83*_xlpm.w,IF(OR(_xlpm.n="",_xlpm.n=0,_xlpm.tot=0,_xlpm.w=0),0,ROUND(_xlpm.cum/_xlpm.tot*_xlpm.n,0)-ROUND((_xlpm.cum-_xlpm.w)/_xlpm.tot*_xlpm.n,0)))</f>
        <v>0</v>
      </c>
      <c r="R83" s="691" cm="1">
        <f t="array" aca="1" ref="R83" ca="1">_xlfn.LET(_xlpm.w,INDEX(R$19:R$30,$U83),_xlpm.tot,SUMPRODUCT(R$19:R$30,$T$19:$T$30),_xlpm.n,R$14,_xlpm.cum,SUMPRODUCT((ROW($C$19:$C$30)-18&lt;$U83)*R$19:R$30*$T$19:$T$30)+$V83*_xlpm.w,IF(OR(_xlpm.n="",_xlpm.n=0,_xlpm.tot=0,_xlpm.w=0),0,ROUND(_xlpm.cum/_xlpm.tot*_xlpm.n,0)-ROUND((_xlpm.cum-_xlpm.w)/_xlpm.tot*_xlpm.n,0)))</f>
        <v>0</v>
      </c>
      <c r="S83" s="692">
        <f t="shared" ca="1" si="16"/>
        <v>1</v>
      </c>
      <c r="T83" s="693">
        <f t="shared" ca="1" si="17"/>
        <v>46212</v>
      </c>
      <c r="U83" s="694">
        <f t="shared" ca="1" si="18"/>
        <v>7</v>
      </c>
      <c r="V83" s="694">
        <f ca="1">COUNTIFS($U$56:$U83,$U83)</f>
        <v>2</v>
      </c>
      <c r="W83" s="695">
        <f t="shared" ca="1" si="19"/>
        <v>4.8</v>
      </c>
      <c r="X83" s="696" cm="1">
        <f t="array" aca="1" ref="X83" ca="1">INDEX($U$19:$U$30,$U83)</f>
        <v>20</v>
      </c>
      <c r="Y83" s="697">
        <f t="shared" ca="1" si="20"/>
        <v>0.24</v>
      </c>
      <c r="Z83" s="698" t="str">
        <f t="shared" ca="1" si="21"/>
        <v>OK</v>
      </c>
    </row>
    <row r="84" spans="1:26" ht="13.95" customHeight="1">
      <c r="A84" s="689">
        <f t="shared" si="22"/>
        <v>29</v>
      </c>
      <c r="B84" s="690" t="str" cm="1">
        <f t="array" aca="1" ref="B84" ca="1">INDEX($B$19:$B$30,$U84)</f>
        <v>JUILLET</v>
      </c>
      <c r="C84" s="691" cm="1">
        <f t="array" aca="1" ref="C84" ca="1">_xlfn.LET(_xlpm.w,INDEX(C$19:C$30,$U84),_xlpm.tot,SUMPRODUCT(C$19:C$30,$T$19:$T$30),_xlpm.n,C$14,_xlpm.cum,SUMPRODUCT((ROW($C$19:$C$30)-18&lt;$U84)*C$19:C$30*$T$19:$T$30)+$V84*_xlpm.w,IF(OR(_xlpm.n="",_xlpm.n=0,_xlpm.tot=0,_xlpm.w=0),0,ROUND(_xlpm.cum/_xlpm.tot*_xlpm.n,0)-ROUND((_xlpm.cum-_xlpm.w)/_xlpm.tot*_xlpm.n,0)))</f>
        <v>1</v>
      </c>
      <c r="D84" s="691" cm="1">
        <f t="array" aca="1" ref="D84" ca="1">_xlfn.LET(_xlpm.w,INDEX(D$19:D$30,$U84),_xlpm.tot,SUMPRODUCT(D$19:D$30,$T$19:$T$30),_xlpm.n,D$14,_xlpm.cum,SUMPRODUCT((ROW($C$19:$C$30)-18&lt;$U84)*D$19:D$30*$T$19:$T$30)+$V84*_xlpm.w,IF(OR(_xlpm.n="",_xlpm.n=0,_xlpm.tot=0,_xlpm.w=0),0,ROUND(_xlpm.cum/_xlpm.tot*_xlpm.n,0)-ROUND((_xlpm.cum-_xlpm.w)/_xlpm.tot*_xlpm.n,0)))</f>
        <v>0</v>
      </c>
      <c r="E84" s="691" cm="1">
        <f t="array" aca="1" ref="E84" ca="1">_xlfn.LET(_xlpm.w,INDEX(E$19:E$30,$U84),_xlpm.tot,SUMPRODUCT(E$19:E$30,$T$19:$T$30),_xlpm.n,E$14,_xlpm.cum,SUMPRODUCT((ROW($C$19:$C$30)-18&lt;$U84)*E$19:E$30*$T$19:$T$30)+$V84*_xlpm.w,IF(OR(_xlpm.n="",_xlpm.n=0,_xlpm.tot=0,_xlpm.w=0),0,ROUND(_xlpm.cum/_xlpm.tot*_xlpm.n,0)-ROUND((_xlpm.cum-_xlpm.w)/_xlpm.tot*_xlpm.n,0)))</f>
        <v>0</v>
      </c>
      <c r="F84" s="691" cm="1">
        <f t="array" aca="1" ref="F84" ca="1">_xlfn.LET(_xlpm.w,INDEX(F$19:F$30,$U84),_xlpm.tot,SUMPRODUCT(F$19:F$30,$T$19:$T$30),_xlpm.n,F$14,_xlpm.cum,SUMPRODUCT((ROW($C$19:$C$30)-18&lt;$U84)*F$19:F$30*$T$19:$T$30)+$V84*_xlpm.w,IF(OR(_xlpm.n="",_xlpm.n=0,_xlpm.tot=0,_xlpm.w=0),0,ROUND(_xlpm.cum/_xlpm.tot*_xlpm.n,0)-ROUND((_xlpm.cum-_xlpm.w)/_xlpm.tot*_xlpm.n,0)))</f>
        <v>1</v>
      </c>
      <c r="G84" s="691" cm="1">
        <f t="array" aca="1" ref="G84" ca="1">_xlfn.LET(_xlpm.w,INDEX(G$19:G$30,$U84),_xlpm.tot,SUMPRODUCT(G$19:G$30,$T$19:$T$30),_xlpm.n,G$14,_xlpm.cum,SUMPRODUCT((ROW($C$19:$C$30)-18&lt;$U84)*G$19:G$30*$T$19:$T$30)+$V84*_xlpm.w,IF(OR(_xlpm.n="",_xlpm.n=0,_xlpm.tot=0,_xlpm.w=0),0,ROUND(_xlpm.cum/_xlpm.tot*_xlpm.n,0)-ROUND((_xlpm.cum-_xlpm.w)/_xlpm.tot*_xlpm.n,0)))</f>
        <v>0</v>
      </c>
      <c r="H84" s="691" cm="1">
        <f t="array" aca="1" ref="H84" ca="1">_xlfn.LET(_xlpm.w,INDEX(H$19:H$30,$U84),_xlpm.tot,SUMPRODUCT(H$19:H$30,$T$19:$T$30),_xlpm.n,H$14,_xlpm.cum,SUMPRODUCT((ROW($C$19:$C$30)-18&lt;$U84)*H$19:H$30*$T$19:$T$30)+$V84*_xlpm.w,IF(OR(_xlpm.n="",_xlpm.n=0,_xlpm.tot=0,_xlpm.w=0),0,ROUND(_xlpm.cum/_xlpm.tot*_xlpm.n,0)-ROUND((_xlpm.cum-_xlpm.w)/_xlpm.tot*_xlpm.n,0)))</f>
        <v>0</v>
      </c>
      <c r="I84" s="691" cm="1">
        <f t="array" aca="1" ref="I84" ca="1">_xlfn.LET(_xlpm.w,INDEX(I$19:I$30,$U84),_xlpm.tot,SUMPRODUCT(I$19:I$30,$T$19:$T$30),_xlpm.n,I$14,_xlpm.cum,SUMPRODUCT((ROW($C$19:$C$30)-18&lt;$U84)*I$19:I$30*$T$19:$T$30)+$V84*_xlpm.w,IF(OR(_xlpm.n="",_xlpm.n=0,_xlpm.tot=0,_xlpm.w=0),0,ROUND(_xlpm.cum/_xlpm.tot*_xlpm.n,0)-ROUND((_xlpm.cum-_xlpm.w)/_xlpm.tot*_xlpm.n,0)))</f>
        <v>0</v>
      </c>
      <c r="J84" s="691" cm="1">
        <f t="array" aca="1" ref="J84" ca="1">_xlfn.LET(_xlpm.w,INDEX(J$19:J$30,$U84),_xlpm.tot,SUMPRODUCT(J$19:J$30,$T$19:$T$30),_xlpm.n,J$14,_xlpm.cum,SUMPRODUCT((ROW($C$19:$C$30)-18&lt;$U84)*J$19:J$30*$T$19:$T$30)+$V84*_xlpm.w,IF(OR(_xlpm.n="",_xlpm.n=0,_xlpm.tot=0,_xlpm.w=0),0,ROUND(_xlpm.cum/_xlpm.tot*_xlpm.n,0)-ROUND((_xlpm.cum-_xlpm.w)/_xlpm.tot*_xlpm.n,0)))</f>
        <v>0</v>
      </c>
      <c r="K84" s="691" cm="1">
        <f t="array" aca="1" ref="K84" ca="1">_xlfn.LET(_xlpm.w,INDEX(K$19:K$30,$U84),_xlpm.tot,SUMPRODUCT(K$19:K$30,$T$19:$T$30),_xlpm.n,K$14,_xlpm.cum,SUMPRODUCT((ROW($C$19:$C$30)-18&lt;$U84)*K$19:K$30*$T$19:$T$30)+$V84*_xlpm.w,IF(OR(_xlpm.n="",_xlpm.n=0,_xlpm.tot=0,_xlpm.w=0),0,ROUND(_xlpm.cum/_xlpm.tot*_xlpm.n,0)-ROUND((_xlpm.cum-_xlpm.w)/_xlpm.tot*_xlpm.n,0)))</f>
        <v>0</v>
      </c>
      <c r="L84" s="691" cm="1">
        <f t="array" aca="1" ref="L84" ca="1">_xlfn.LET(_xlpm.w,INDEX(L$19:L$30,$U84),_xlpm.tot,SUMPRODUCT(L$19:L$30,$T$19:$T$30),_xlpm.n,L$14,_xlpm.cum,SUMPRODUCT((ROW($C$19:$C$30)-18&lt;$U84)*L$19:L$30*$T$19:$T$30)+$V84*_xlpm.w,IF(OR(_xlpm.n="",_xlpm.n=0,_xlpm.tot=0,_xlpm.w=0),0,ROUND(_xlpm.cum/_xlpm.tot*_xlpm.n,0)-ROUND((_xlpm.cum-_xlpm.w)/_xlpm.tot*_xlpm.n,0)))</f>
        <v>0</v>
      </c>
      <c r="M84" s="691" cm="1">
        <f t="array" aca="1" ref="M84" ca="1">_xlfn.LET(_xlpm.w,INDEX(M$19:M$30,$U84),_xlpm.tot,SUMPRODUCT(M$19:M$30,$T$19:$T$30),_xlpm.n,M$14,_xlpm.cum,SUMPRODUCT((ROW($C$19:$C$30)-18&lt;$U84)*M$19:M$30*$T$19:$T$30)+$V84*_xlpm.w,IF(OR(_xlpm.n="",_xlpm.n=0,_xlpm.tot=0,_xlpm.w=0),0,ROUND(_xlpm.cum/_xlpm.tot*_xlpm.n,0)-ROUND((_xlpm.cum-_xlpm.w)/_xlpm.tot*_xlpm.n,0)))</f>
        <v>0</v>
      </c>
      <c r="N84" s="691" cm="1">
        <f t="array" aca="1" ref="N84" ca="1">_xlfn.LET(_xlpm.w,INDEX(N$19:N$30,$U84),_xlpm.tot,SUMPRODUCT(N$19:N$30,$T$19:$T$30),_xlpm.n,N$14,_xlpm.cum,SUMPRODUCT((ROW($C$19:$C$30)-18&lt;$U84)*N$19:N$30*$T$19:$T$30)+$V84*_xlpm.w,IF(OR(_xlpm.n="",_xlpm.n=0,_xlpm.tot=0,_xlpm.w=0),0,ROUND(_xlpm.cum/_xlpm.tot*_xlpm.n,0)-ROUND((_xlpm.cum-_xlpm.w)/_xlpm.tot*_xlpm.n,0)))</f>
        <v>0</v>
      </c>
      <c r="O84" s="691" cm="1">
        <f t="array" aca="1" ref="O84" ca="1">_xlfn.LET(_xlpm.w,INDEX(O$19:O$30,$U84),_xlpm.tot,SUMPRODUCT(O$19:O$30,$T$19:$T$30),_xlpm.n,O$14,_xlpm.cum,SUMPRODUCT((ROW($C$19:$C$30)-18&lt;$U84)*O$19:O$30*$T$19:$T$30)+$V84*_xlpm.w,IF(OR(_xlpm.n="",_xlpm.n=0,_xlpm.tot=0,_xlpm.w=0),0,ROUND(_xlpm.cum/_xlpm.tot*_xlpm.n,0)-ROUND((_xlpm.cum-_xlpm.w)/_xlpm.tot*_xlpm.n,0)))</f>
        <v>0</v>
      </c>
      <c r="P84" s="691" cm="1">
        <f t="array" aca="1" ref="P84" ca="1">_xlfn.LET(_xlpm.w,INDEX(P$19:P$30,$U84),_xlpm.tot,SUMPRODUCT(P$19:P$30,$T$19:$T$30),_xlpm.n,P$14,_xlpm.cum,SUMPRODUCT((ROW($C$19:$C$30)-18&lt;$U84)*P$19:P$30*$T$19:$T$30)+$V84*_xlpm.w,IF(OR(_xlpm.n="",_xlpm.n=0,_xlpm.tot=0,_xlpm.w=0),0,ROUND(_xlpm.cum/_xlpm.tot*_xlpm.n,0)-ROUND((_xlpm.cum-_xlpm.w)/_xlpm.tot*_xlpm.n,0)))</f>
        <v>0</v>
      </c>
      <c r="Q84" s="691" cm="1">
        <f t="array" aca="1" ref="Q84" ca="1">_xlfn.LET(_xlpm.w,INDEX(Q$19:Q$30,$U84),_xlpm.tot,SUMPRODUCT(Q$19:Q$30,$T$19:$T$30),_xlpm.n,Q$14,_xlpm.cum,SUMPRODUCT((ROW($C$19:$C$30)-18&lt;$U84)*Q$19:Q$30*$T$19:$T$30)+$V84*_xlpm.w,IF(OR(_xlpm.n="",_xlpm.n=0,_xlpm.tot=0,_xlpm.w=0),0,ROUND(_xlpm.cum/_xlpm.tot*_xlpm.n,0)-ROUND((_xlpm.cum-_xlpm.w)/_xlpm.tot*_xlpm.n,0)))</f>
        <v>0</v>
      </c>
      <c r="R84" s="691" cm="1">
        <f t="array" aca="1" ref="R84" ca="1">_xlfn.LET(_xlpm.w,INDEX(R$19:R$30,$U84),_xlpm.tot,SUMPRODUCT(R$19:R$30,$T$19:$T$30),_xlpm.n,R$14,_xlpm.cum,SUMPRODUCT((ROW($C$19:$C$30)-18&lt;$U84)*R$19:R$30*$T$19:$T$30)+$V84*_xlpm.w,IF(OR(_xlpm.n="",_xlpm.n=0,_xlpm.tot=0,_xlpm.w=0),0,ROUND(_xlpm.cum/_xlpm.tot*_xlpm.n,0)-ROUND((_xlpm.cum-_xlpm.w)/_xlpm.tot*_xlpm.n,0)))</f>
        <v>0</v>
      </c>
      <c r="S84" s="692">
        <f t="shared" ca="1" si="16"/>
        <v>2</v>
      </c>
      <c r="T84" s="693">
        <f t="shared" ca="1" si="17"/>
        <v>46219</v>
      </c>
      <c r="U84" s="694">
        <f t="shared" ca="1" si="18"/>
        <v>7</v>
      </c>
      <c r="V84" s="694">
        <f ca="1">COUNTIFS($U$56:$U84,$U84)</f>
        <v>3</v>
      </c>
      <c r="W84" s="695">
        <f t="shared" ca="1" si="19"/>
        <v>9.6</v>
      </c>
      <c r="X84" s="696" cm="1">
        <f t="array" aca="1" ref="X84" ca="1">INDEX($U$19:$U$30,$U84)</f>
        <v>20</v>
      </c>
      <c r="Y84" s="697">
        <f t="shared" ca="1" si="20"/>
        <v>0.48</v>
      </c>
      <c r="Z84" s="698" t="str">
        <f t="shared" ca="1" si="21"/>
        <v>OK</v>
      </c>
    </row>
    <row r="85" spans="1:26" ht="13.95" customHeight="1">
      <c r="A85" s="689">
        <f t="shared" si="22"/>
        <v>30</v>
      </c>
      <c r="B85" s="690" t="str" cm="1">
        <f t="array" aca="1" ref="B85" ca="1">INDEX($B$19:$B$30,$U85)</f>
        <v>JUILLET</v>
      </c>
      <c r="C85" s="691" cm="1">
        <f t="array" aca="1" ref="C85" ca="1">_xlfn.LET(_xlpm.w,INDEX(C$19:C$30,$U85),_xlpm.tot,SUMPRODUCT(C$19:C$30,$T$19:$T$30),_xlpm.n,C$14,_xlpm.cum,SUMPRODUCT((ROW($C$19:$C$30)-18&lt;$U85)*C$19:C$30*$T$19:$T$30)+$V85*_xlpm.w,IF(OR(_xlpm.n="",_xlpm.n=0,_xlpm.tot=0,_xlpm.w=0),0,ROUND(_xlpm.cum/_xlpm.tot*_xlpm.n,0)-ROUND((_xlpm.cum-_xlpm.w)/_xlpm.tot*_xlpm.n,0)))</f>
        <v>0</v>
      </c>
      <c r="D85" s="691" cm="1">
        <f t="array" aca="1" ref="D85" ca="1">_xlfn.LET(_xlpm.w,INDEX(D$19:D$30,$U85),_xlpm.tot,SUMPRODUCT(D$19:D$30,$T$19:$T$30),_xlpm.n,D$14,_xlpm.cum,SUMPRODUCT((ROW($C$19:$C$30)-18&lt;$U85)*D$19:D$30*$T$19:$T$30)+$V85*_xlpm.w,IF(OR(_xlpm.n="",_xlpm.n=0,_xlpm.tot=0,_xlpm.w=0),0,ROUND(_xlpm.cum/_xlpm.tot*_xlpm.n,0)-ROUND((_xlpm.cum-_xlpm.w)/_xlpm.tot*_xlpm.n,0)))</f>
        <v>0</v>
      </c>
      <c r="E85" s="691" cm="1">
        <f t="array" aca="1" ref="E85" ca="1">_xlfn.LET(_xlpm.w,INDEX(E$19:E$30,$U85),_xlpm.tot,SUMPRODUCT(E$19:E$30,$T$19:$T$30),_xlpm.n,E$14,_xlpm.cum,SUMPRODUCT((ROW($C$19:$C$30)-18&lt;$U85)*E$19:E$30*$T$19:$T$30)+$V85*_xlpm.w,IF(OR(_xlpm.n="",_xlpm.n=0,_xlpm.tot=0,_xlpm.w=0),0,ROUND(_xlpm.cum/_xlpm.tot*_xlpm.n,0)-ROUND((_xlpm.cum-_xlpm.w)/_xlpm.tot*_xlpm.n,0)))</f>
        <v>0</v>
      </c>
      <c r="F85" s="691" cm="1">
        <f t="array" aca="1" ref="F85" ca="1">_xlfn.LET(_xlpm.w,INDEX(F$19:F$30,$U85),_xlpm.tot,SUMPRODUCT(F$19:F$30,$T$19:$T$30),_xlpm.n,F$14,_xlpm.cum,SUMPRODUCT((ROW($C$19:$C$30)-18&lt;$U85)*F$19:F$30*$T$19:$T$30)+$V85*_xlpm.w,IF(OR(_xlpm.n="",_xlpm.n=0,_xlpm.tot=0,_xlpm.w=0),0,ROUND(_xlpm.cum/_xlpm.tot*_xlpm.n,0)-ROUND((_xlpm.cum-_xlpm.w)/_xlpm.tot*_xlpm.n,0)))</f>
        <v>1</v>
      </c>
      <c r="G85" s="691" cm="1">
        <f t="array" aca="1" ref="G85" ca="1">_xlfn.LET(_xlpm.w,INDEX(G$19:G$30,$U85),_xlpm.tot,SUMPRODUCT(G$19:G$30,$T$19:$T$30),_xlpm.n,G$14,_xlpm.cum,SUMPRODUCT((ROW($C$19:$C$30)-18&lt;$U85)*G$19:G$30*$T$19:$T$30)+$V85*_xlpm.w,IF(OR(_xlpm.n="",_xlpm.n=0,_xlpm.tot=0,_xlpm.w=0),0,ROUND(_xlpm.cum/_xlpm.tot*_xlpm.n,0)-ROUND((_xlpm.cum-_xlpm.w)/_xlpm.tot*_xlpm.n,0)))</f>
        <v>0</v>
      </c>
      <c r="H85" s="691" cm="1">
        <f t="array" aca="1" ref="H85" ca="1">_xlfn.LET(_xlpm.w,INDEX(H$19:H$30,$U85),_xlpm.tot,SUMPRODUCT(H$19:H$30,$T$19:$T$30),_xlpm.n,H$14,_xlpm.cum,SUMPRODUCT((ROW($C$19:$C$30)-18&lt;$U85)*H$19:H$30*$T$19:$T$30)+$V85*_xlpm.w,IF(OR(_xlpm.n="",_xlpm.n=0,_xlpm.tot=0,_xlpm.w=0),0,ROUND(_xlpm.cum/_xlpm.tot*_xlpm.n,0)-ROUND((_xlpm.cum-_xlpm.w)/_xlpm.tot*_xlpm.n,0)))</f>
        <v>0</v>
      </c>
      <c r="I85" s="691" cm="1">
        <f t="array" aca="1" ref="I85" ca="1">_xlfn.LET(_xlpm.w,INDEX(I$19:I$30,$U85),_xlpm.tot,SUMPRODUCT(I$19:I$30,$T$19:$T$30),_xlpm.n,I$14,_xlpm.cum,SUMPRODUCT((ROW($C$19:$C$30)-18&lt;$U85)*I$19:I$30*$T$19:$T$30)+$V85*_xlpm.w,IF(OR(_xlpm.n="",_xlpm.n=0,_xlpm.tot=0,_xlpm.w=0),0,ROUND(_xlpm.cum/_xlpm.tot*_xlpm.n,0)-ROUND((_xlpm.cum-_xlpm.w)/_xlpm.tot*_xlpm.n,0)))</f>
        <v>0</v>
      </c>
      <c r="J85" s="691" cm="1">
        <f t="array" aca="1" ref="J85" ca="1">_xlfn.LET(_xlpm.w,INDEX(J$19:J$30,$U85),_xlpm.tot,SUMPRODUCT(J$19:J$30,$T$19:$T$30),_xlpm.n,J$14,_xlpm.cum,SUMPRODUCT((ROW($C$19:$C$30)-18&lt;$U85)*J$19:J$30*$T$19:$T$30)+$V85*_xlpm.w,IF(OR(_xlpm.n="",_xlpm.n=0,_xlpm.tot=0,_xlpm.w=0),0,ROUND(_xlpm.cum/_xlpm.tot*_xlpm.n,0)-ROUND((_xlpm.cum-_xlpm.w)/_xlpm.tot*_xlpm.n,0)))</f>
        <v>0</v>
      </c>
      <c r="K85" s="691" cm="1">
        <f t="array" aca="1" ref="K85" ca="1">_xlfn.LET(_xlpm.w,INDEX(K$19:K$30,$U85),_xlpm.tot,SUMPRODUCT(K$19:K$30,$T$19:$T$30),_xlpm.n,K$14,_xlpm.cum,SUMPRODUCT((ROW($C$19:$C$30)-18&lt;$U85)*K$19:K$30*$T$19:$T$30)+$V85*_xlpm.w,IF(OR(_xlpm.n="",_xlpm.n=0,_xlpm.tot=0,_xlpm.w=0),0,ROUND(_xlpm.cum/_xlpm.tot*_xlpm.n,0)-ROUND((_xlpm.cum-_xlpm.w)/_xlpm.tot*_xlpm.n,0)))</f>
        <v>0</v>
      </c>
      <c r="L85" s="691" cm="1">
        <f t="array" aca="1" ref="L85" ca="1">_xlfn.LET(_xlpm.w,INDEX(L$19:L$30,$U85),_xlpm.tot,SUMPRODUCT(L$19:L$30,$T$19:$T$30),_xlpm.n,L$14,_xlpm.cum,SUMPRODUCT((ROW($C$19:$C$30)-18&lt;$U85)*L$19:L$30*$T$19:$T$30)+$V85*_xlpm.w,IF(OR(_xlpm.n="",_xlpm.n=0,_xlpm.tot=0,_xlpm.w=0),0,ROUND(_xlpm.cum/_xlpm.tot*_xlpm.n,0)-ROUND((_xlpm.cum-_xlpm.w)/_xlpm.tot*_xlpm.n,0)))</f>
        <v>0</v>
      </c>
      <c r="M85" s="691" cm="1">
        <f t="array" aca="1" ref="M85" ca="1">_xlfn.LET(_xlpm.w,INDEX(M$19:M$30,$U85),_xlpm.tot,SUMPRODUCT(M$19:M$30,$T$19:$T$30),_xlpm.n,M$14,_xlpm.cum,SUMPRODUCT((ROW($C$19:$C$30)-18&lt;$U85)*M$19:M$30*$T$19:$T$30)+$V85*_xlpm.w,IF(OR(_xlpm.n="",_xlpm.n=0,_xlpm.tot=0,_xlpm.w=0),0,ROUND(_xlpm.cum/_xlpm.tot*_xlpm.n,0)-ROUND((_xlpm.cum-_xlpm.w)/_xlpm.tot*_xlpm.n,0)))</f>
        <v>0</v>
      </c>
      <c r="N85" s="691" cm="1">
        <f t="array" aca="1" ref="N85" ca="1">_xlfn.LET(_xlpm.w,INDEX(N$19:N$30,$U85),_xlpm.tot,SUMPRODUCT(N$19:N$30,$T$19:$T$30),_xlpm.n,N$14,_xlpm.cum,SUMPRODUCT((ROW($C$19:$C$30)-18&lt;$U85)*N$19:N$30*$T$19:$T$30)+$V85*_xlpm.w,IF(OR(_xlpm.n="",_xlpm.n=0,_xlpm.tot=0,_xlpm.w=0),0,ROUND(_xlpm.cum/_xlpm.tot*_xlpm.n,0)-ROUND((_xlpm.cum-_xlpm.w)/_xlpm.tot*_xlpm.n,0)))</f>
        <v>0</v>
      </c>
      <c r="O85" s="691" cm="1">
        <f t="array" aca="1" ref="O85" ca="1">_xlfn.LET(_xlpm.w,INDEX(O$19:O$30,$U85),_xlpm.tot,SUMPRODUCT(O$19:O$30,$T$19:$T$30),_xlpm.n,O$14,_xlpm.cum,SUMPRODUCT((ROW($C$19:$C$30)-18&lt;$U85)*O$19:O$30*$T$19:$T$30)+$V85*_xlpm.w,IF(OR(_xlpm.n="",_xlpm.n=0,_xlpm.tot=0,_xlpm.w=0),0,ROUND(_xlpm.cum/_xlpm.tot*_xlpm.n,0)-ROUND((_xlpm.cum-_xlpm.w)/_xlpm.tot*_xlpm.n,0)))</f>
        <v>0</v>
      </c>
      <c r="P85" s="691" cm="1">
        <f t="array" aca="1" ref="P85" ca="1">_xlfn.LET(_xlpm.w,INDEX(P$19:P$30,$U85),_xlpm.tot,SUMPRODUCT(P$19:P$30,$T$19:$T$30),_xlpm.n,P$14,_xlpm.cum,SUMPRODUCT((ROW($C$19:$C$30)-18&lt;$U85)*P$19:P$30*$T$19:$T$30)+$V85*_xlpm.w,IF(OR(_xlpm.n="",_xlpm.n=0,_xlpm.tot=0,_xlpm.w=0),0,ROUND(_xlpm.cum/_xlpm.tot*_xlpm.n,0)-ROUND((_xlpm.cum-_xlpm.w)/_xlpm.tot*_xlpm.n,0)))</f>
        <v>0</v>
      </c>
      <c r="Q85" s="691" cm="1">
        <f t="array" aca="1" ref="Q85" ca="1">_xlfn.LET(_xlpm.w,INDEX(Q$19:Q$30,$U85),_xlpm.tot,SUMPRODUCT(Q$19:Q$30,$T$19:$T$30),_xlpm.n,Q$14,_xlpm.cum,SUMPRODUCT((ROW($C$19:$C$30)-18&lt;$U85)*Q$19:Q$30*$T$19:$T$30)+$V85*_xlpm.w,IF(OR(_xlpm.n="",_xlpm.n=0,_xlpm.tot=0,_xlpm.w=0),0,ROUND(_xlpm.cum/_xlpm.tot*_xlpm.n,0)-ROUND((_xlpm.cum-_xlpm.w)/_xlpm.tot*_xlpm.n,0)))</f>
        <v>0</v>
      </c>
      <c r="R85" s="691" cm="1">
        <f t="array" aca="1" ref="R85" ca="1">_xlfn.LET(_xlpm.w,INDEX(R$19:R$30,$U85),_xlpm.tot,SUMPRODUCT(R$19:R$30,$T$19:$T$30),_xlpm.n,R$14,_xlpm.cum,SUMPRODUCT((ROW($C$19:$C$30)-18&lt;$U85)*R$19:R$30*$T$19:$T$30)+$V85*_xlpm.w,IF(OR(_xlpm.n="",_xlpm.n=0,_xlpm.tot=0,_xlpm.w=0),0,ROUND(_xlpm.cum/_xlpm.tot*_xlpm.n,0)-ROUND((_xlpm.cum-_xlpm.w)/_xlpm.tot*_xlpm.n,0)))</f>
        <v>0</v>
      </c>
      <c r="S85" s="692">
        <f t="shared" ca="1" si="16"/>
        <v>1</v>
      </c>
      <c r="T85" s="693">
        <f t="shared" ca="1" si="17"/>
        <v>46226</v>
      </c>
      <c r="U85" s="694">
        <f t="shared" ca="1" si="18"/>
        <v>7</v>
      </c>
      <c r="V85" s="694">
        <f ca="1">COUNTIFS($U$56:$U85,$U85)</f>
        <v>4</v>
      </c>
      <c r="W85" s="695">
        <f t="shared" ca="1" si="19"/>
        <v>4.8</v>
      </c>
      <c r="X85" s="696" cm="1">
        <f t="array" aca="1" ref="X85" ca="1">INDEX($U$19:$U$30,$U85)</f>
        <v>20</v>
      </c>
      <c r="Y85" s="697">
        <f t="shared" ca="1" si="20"/>
        <v>0.24</v>
      </c>
      <c r="Z85" s="698" t="str">
        <f t="shared" ca="1" si="21"/>
        <v>OK</v>
      </c>
    </row>
    <row r="86" spans="1:26" ht="13.95" customHeight="1">
      <c r="A86" s="689">
        <f t="shared" si="22"/>
        <v>31</v>
      </c>
      <c r="B86" s="690" t="str" cm="1">
        <f t="array" aca="1" ref="B86" ca="1">INDEX($B$19:$B$30,$U86)</f>
        <v>AOÛT</v>
      </c>
      <c r="C86" s="691" cm="1">
        <f t="array" aca="1" ref="C86" ca="1">_xlfn.LET(_xlpm.w,INDEX(C$19:C$30,$U86),_xlpm.tot,SUMPRODUCT(C$19:C$30,$T$19:$T$30),_xlpm.n,C$14,_xlpm.cum,SUMPRODUCT((ROW($C$19:$C$30)-18&lt;$U86)*C$19:C$30*$T$19:$T$30)+$V86*_xlpm.w,IF(OR(_xlpm.n="",_xlpm.n=0,_xlpm.tot=0,_xlpm.w=0),0,ROUND(_xlpm.cum/_xlpm.tot*_xlpm.n,0)-ROUND((_xlpm.cum-_xlpm.w)/_xlpm.tot*_xlpm.n,0)))</f>
        <v>1</v>
      </c>
      <c r="D86" s="691" cm="1">
        <f t="array" aca="1" ref="D86" ca="1">_xlfn.LET(_xlpm.w,INDEX(D$19:D$30,$U86),_xlpm.tot,SUMPRODUCT(D$19:D$30,$T$19:$T$30),_xlpm.n,D$14,_xlpm.cum,SUMPRODUCT((ROW($C$19:$C$30)-18&lt;$U86)*D$19:D$30*$T$19:$T$30)+$V86*_xlpm.w,IF(OR(_xlpm.n="",_xlpm.n=0,_xlpm.tot=0,_xlpm.w=0),0,ROUND(_xlpm.cum/_xlpm.tot*_xlpm.n,0)-ROUND((_xlpm.cum-_xlpm.w)/_xlpm.tot*_xlpm.n,0)))</f>
        <v>0</v>
      </c>
      <c r="E86" s="691" cm="1">
        <f t="array" aca="1" ref="E86" ca="1">_xlfn.LET(_xlpm.w,INDEX(E$19:E$30,$U86),_xlpm.tot,SUMPRODUCT(E$19:E$30,$T$19:$T$30),_xlpm.n,E$14,_xlpm.cum,SUMPRODUCT((ROW($C$19:$C$30)-18&lt;$U86)*E$19:E$30*$T$19:$T$30)+$V86*_xlpm.w,IF(OR(_xlpm.n="",_xlpm.n=0,_xlpm.tot=0,_xlpm.w=0),0,ROUND(_xlpm.cum/_xlpm.tot*_xlpm.n,0)-ROUND((_xlpm.cum-_xlpm.w)/_xlpm.tot*_xlpm.n,0)))</f>
        <v>1</v>
      </c>
      <c r="F86" s="691" cm="1">
        <f t="array" aca="1" ref="F86" ca="1">_xlfn.LET(_xlpm.w,INDEX(F$19:F$30,$U86),_xlpm.tot,SUMPRODUCT(F$19:F$30,$T$19:$T$30),_xlpm.n,F$14,_xlpm.cum,SUMPRODUCT((ROW($C$19:$C$30)-18&lt;$U86)*F$19:F$30*$T$19:$T$30)+$V86*_xlpm.w,IF(OR(_xlpm.n="",_xlpm.n=0,_xlpm.tot=0,_xlpm.w=0),0,ROUND(_xlpm.cum/_xlpm.tot*_xlpm.n,0)-ROUND((_xlpm.cum-_xlpm.w)/_xlpm.tot*_xlpm.n,0)))</f>
        <v>0</v>
      </c>
      <c r="G86" s="691" cm="1">
        <f t="array" aca="1" ref="G86" ca="1">_xlfn.LET(_xlpm.w,INDEX(G$19:G$30,$U86),_xlpm.tot,SUMPRODUCT(G$19:G$30,$T$19:$T$30),_xlpm.n,G$14,_xlpm.cum,SUMPRODUCT((ROW($C$19:$C$30)-18&lt;$U86)*G$19:G$30*$T$19:$T$30)+$V86*_xlpm.w,IF(OR(_xlpm.n="",_xlpm.n=0,_xlpm.tot=0,_xlpm.w=0),0,ROUND(_xlpm.cum/_xlpm.tot*_xlpm.n,0)-ROUND((_xlpm.cum-_xlpm.w)/_xlpm.tot*_xlpm.n,0)))</f>
        <v>0</v>
      </c>
      <c r="H86" s="691" cm="1">
        <f t="array" aca="1" ref="H86" ca="1">_xlfn.LET(_xlpm.w,INDEX(H$19:H$30,$U86),_xlpm.tot,SUMPRODUCT(H$19:H$30,$T$19:$T$30),_xlpm.n,H$14,_xlpm.cum,SUMPRODUCT((ROW($C$19:$C$30)-18&lt;$U86)*H$19:H$30*$T$19:$T$30)+$V86*_xlpm.w,IF(OR(_xlpm.n="",_xlpm.n=0,_xlpm.tot=0,_xlpm.w=0),0,ROUND(_xlpm.cum/_xlpm.tot*_xlpm.n,0)-ROUND((_xlpm.cum-_xlpm.w)/_xlpm.tot*_xlpm.n,0)))</f>
        <v>0</v>
      </c>
      <c r="I86" s="691" cm="1">
        <f t="array" aca="1" ref="I86" ca="1">_xlfn.LET(_xlpm.w,INDEX(I$19:I$30,$U86),_xlpm.tot,SUMPRODUCT(I$19:I$30,$T$19:$T$30),_xlpm.n,I$14,_xlpm.cum,SUMPRODUCT((ROW($C$19:$C$30)-18&lt;$U86)*I$19:I$30*$T$19:$T$30)+$V86*_xlpm.w,IF(OR(_xlpm.n="",_xlpm.n=0,_xlpm.tot=0,_xlpm.w=0),0,ROUND(_xlpm.cum/_xlpm.tot*_xlpm.n,0)-ROUND((_xlpm.cum-_xlpm.w)/_xlpm.tot*_xlpm.n,0)))</f>
        <v>0</v>
      </c>
      <c r="J86" s="691" cm="1">
        <f t="array" aca="1" ref="J86" ca="1">_xlfn.LET(_xlpm.w,INDEX(J$19:J$30,$U86),_xlpm.tot,SUMPRODUCT(J$19:J$30,$T$19:$T$30),_xlpm.n,J$14,_xlpm.cum,SUMPRODUCT((ROW($C$19:$C$30)-18&lt;$U86)*J$19:J$30*$T$19:$T$30)+$V86*_xlpm.w,IF(OR(_xlpm.n="",_xlpm.n=0,_xlpm.tot=0,_xlpm.w=0),0,ROUND(_xlpm.cum/_xlpm.tot*_xlpm.n,0)-ROUND((_xlpm.cum-_xlpm.w)/_xlpm.tot*_xlpm.n,0)))</f>
        <v>0</v>
      </c>
      <c r="K86" s="691" cm="1">
        <f t="array" aca="1" ref="K86" ca="1">_xlfn.LET(_xlpm.w,INDEX(K$19:K$30,$U86),_xlpm.tot,SUMPRODUCT(K$19:K$30,$T$19:$T$30),_xlpm.n,K$14,_xlpm.cum,SUMPRODUCT((ROW($C$19:$C$30)-18&lt;$U86)*K$19:K$30*$T$19:$T$30)+$V86*_xlpm.w,IF(OR(_xlpm.n="",_xlpm.n=0,_xlpm.tot=0,_xlpm.w=0),0,ROUND(_xlpm.cum/_xlpm.tot*_xlpm.n,0)-ROUND((_xlpm.cum-_xlpm.w)/_xlpm.tot*_xlpm.n,0)))</f>
        <v>0</v>
      </c>
      <c r="L86" s="691" cm="1">
        <f t="array" aca="1" ref="L86" ca="1">_xlfn.LET(_xlpm.w,INDEX(L$19:L$30,$U86),_xlpm.tot,SUMPRODUCT(L$19:L$30,$T$19:$T$30),_xlpm.n,L$14,_xlpm.cum,SUMPRODUCT((ROW($C$19:$C$30)-18&lt;$U86)*L$19:L$30*$T$19:$T$30)+$V86*_xlpm.w,IF(OR(_xlpm.n="",_xlpm.n=0,_xlpm.tot=0,_xlpm.w=0),0,ROUND(_xlpm.cum/_xlpm.tot*_xlpm.n,0)-ROUND((_xlpm.cum-_xlpm.w)/_xlpm.tot*_xlpm.n,0)))</f>
        <v>0</v>
      </c>
      <c r="M86" s="691" cm="1">
        <f t="array" aca="1" ref="M86" ca="1">_xlfn.LET(_xlpm.w,INDEX(M$19:M$30,$U86),_xlpm.tot,SUMPRODUCT(M$19:M$30,$T$19:$T$30),_xlpm.n,M$14,_xlpm.cum,SUMPRODUCT((ROW($C$19:$C$30)-18&lt;$U86)*M$19:M$30*$T$19:$T$30)+$V86*_xlpm.w,IF(OR(_xlpm.n="",_xlpm.n=0,_xlpm.tot=0,_xlpm.w=0),0,ROUND(_xlpm.cum/_xlpm.tot*_xlpm.n,0)-ROUND((_xlpm.cum-_xlpm.w)/_xlpm.tot*_xlpm.n,0)))</f>
        <v>0</v>
      </c>
      <c r="N86" s="691" cm="1">
        <f t="array" aca="1" ref="N86" ca="1">_xlfn.LET(_xlpm.w,INDEX(N$19:N$30,$U86),_xlpm.tot,SUMPRODUCT(N$19:N$30,$T$19:$T$30),_xlpm.n,N$14,_xlpm.cum,SUMPRODUCT((ROW($C$19:$C$30)-18&lt;$U86)*N$19:N$30*$T$19:$T$30)+$V86*_xlpm.w,IF(OR(_xlpm.n="",_xlpm.n=0,_xlpm.tot=0,_xlpm.w=0),0,ROUND(_xlpm.cum/_xlpm.tot*_xlpm.n,0)-ROUND((_xlpm.cum-_xlpm.w)/_xlpm.tot*_xlpm.n,0)))</f>
        <v>0</v>
      </c>
      <c r="O86" s="691" cm="1">
        <f t="array" aca="1" ref="O86" ca="1">_xlfn.LET(_xlpm.w,INDEX(O$19:O$30,$U86),_xlpm.tot,SUMPRODUCT(O$19:O$30,$T$19:$T$30),_xlpm.n,O$14,_xlpm.cum,SUMPRODUCT((ROW($C$19:$C$30)-18&lt;$U86)*O$19:O$30*$T$19:$T$30)+$V86*_xlpm.w,IF(OR(_xlpm.n="",_xlpm.n=0,_xlpm.tot=0,_xlpm.w=0),0,ROUND(_xlpm.cum/_xlpm.tot*_xlpm.n,0)-ROUND((_xlpm.cum-_xlpm.w)/_xlpm.tot*_xlpm.n,0)))</f>
        <v>0</v>
      </c>
      <c r="P86" s="691" cm="1">
        <f t="array" aca="1" ref="P86" ca="1">_xlfn.LET(_xlpm.w,INDEX(P$19:P$30,$U86),_xlpm.tot,SUMPRODUCT(P$19:P$30,$T$19:$T$30),_xlpm.n,P$14,_xlpm.cum,SUMPRODUCT((ROW($C$19:$C$30)-18&lt;$U86)*P$19:P$30*$T$19:$T$30)+$V86*_xlpm.w,IF(OR(_xlpm.n="",_xlpm.n=0,_xlpm.tot=0,_xlpm.w=0),0,ROUND(_xlpm.cum/_xlpm.tot*_xlpm.n,0)-ROUND((_xlpm.cum-_xlpm.w)/_xlpm.tot*_xlpm.n,0)))</f>
        <v>0</v>
      </c>
      <c r="Q86" s="691" cm="1">
        <f t="array" aca="1" ref="Q86" ca="1">_xlfn.LET(_xlpm.w,INDEX(Q$19:Q$30,$U86),_xlpm.tot,SUMPRODUCT(Q$19:Q$30,$T$19:$T$30),_xlpm.n,Q$14,_xlpm.cum,SUMPRODUCT((ROW($C$19:$C$30)-18&lt;$U86)*Q$19:Q$30*$T$19:$T$30)+$V86*_xlpm.w,IF(OR(_xlpm.n="",_xlpm.n=0,_xlpm.tot=0,_xlpm.w=0),0,ROUND(_xlpm.cum/_xlpm.tot*_xlpm.n,0)-ROUND((_xlpm.cum-_xlpm.w)/_xlpm.tot*_xlpm.n,0)))</f>
        <v>0</v>
      </c>
      <c r="R86" s="691" cm="1">
        <f t="array" aca="1" ref="R86" ca="1">_xlfn.LET(_xlpm.w,INDEX(R$19:R$30,$U86),_xlpm.tot,SUMPRODUCT(R$19:R$30,$T$19:$T$30),_xlpm.n,R$14,_xlpm.cum,SUMPRODUCT((ROW($C$19:$C$30)-18&lt;$U86)*R$19:R$30*$T$19:$T$30)+$V86*_xlpm.w,IF(OR(_xlpm.n="",_xlpm.n=0,_xlpm.tot=0,_xlpm.w=0),0,ROUND(_xlpm.cum/_xlpm.tot*_xlpm.n,0)-ROUND((_xlpm.cum-_xlpm.w)/_xlpm.tot*_xlpm.n,0)))</f>
        <v>0</v>
      </c>
      <c r="S86" s="692">
        <f t="shared" ca="1" si="16"/>
        <v>2</v>
      </c>
      <c r="T86" s="693">
        <f t="shared" ca="1" si="17"/>
        <v>46233</v>
      </c>
      <c r="U86" s="694">
        <f t="shared" ca="1" si="18"/>
        <v>8</v>
      </c>
      <c r="V86" s="694">
        <f ca="1">COUNTIFS($U$56:$U86,$U86)</f>
        <v>1</v>
      </c>
      <c r="W86" s="695">
        <f t="shared" ca="1" si="19"/>
        <v>9.6</v>
      </c>
      <c r="X86" s="696" cm="1">
        <f t="array" aca="1" ref="X86" ca="1">INDEX($U$19:$U$30,$U86)</f>
        <v>20</v>
      </c>
      <c r="Y86" s="697">
        <f t="shared" ca="1" si="20"/>
        <v>0.48</v>
      </c>
      <c r="Z86" s="698" t="str">
        <f t="shared" ca="1" si="21"/>
        <v>OK</v>
      </c>
    </row>
    <row r="87" spans="1:26" ht="13.95" customHeight="1">
      <c r="A87" s="689">
        <f t="shared" si="22"/>
        <v>32</v>
      </c>
      <c r="B87" s="690" t="str" cm="1">
        <f t="array" aca="1" ref="B87" ca="1">INDEX($B$19:$B$30,$U87)</f>
        <v>AOÛT</v>
      </c>
      <c r="C87" s="691" cm="1">
        <f t="array" aca="1" ref="C87" ca="1">_xlfn.LET(_xlpm.w,INDEX(C$19:C$30,$U87),_xlpm.tot,SUMPRODUCT(C$19:C$30,$T$19:$T$30),_xlpm.n,C$14,_xlpm.cum,SUMPRODUCT((ROW($C$19:$C$30)-18&lt;$U87)*C$19:C$30*$T$19:$T$30)+$V87*_xlpm.w,IF(OR(_xlpm.n="",_xlpm.n=0,_xlpm.tot=0,_xlpm.w=0),0,ROUND(_xlpm.cum/_xlpm.tot*_xlpm.n,0)-ROUND((_xlpm.cum-_xlpm.w)/_xlpm.tot*_xlpm.n,0)))</f>
        <v>1</v>
      </c>
      <c r="D87" s="691" cm="1">
        <f t="array" aca="1" ref="D87" ca="1">_xlfn.LET(_xlpm.w,INDEX(D$19:D$30,$U87),_xlpm.tot,SUMPRODUCT(D$19:D$30,$T$19:$T$30),_xlpm.n,D$14,_xlpm.cum,SUMPRODUCT((ROW($C$19:$C$30)-18&lt;$U87)*D$19:D$30*$T$19:$T$30)+$V87*_xlpm.w,IF(OR(_xlpm.n="",_xlpm.n=0,_xlpm.tot=0,_xlpm.w=0),0,ROUND(_xlpm.cum/_xlpm.tot*_xlpm.n,0)-ROUND((_xlpm.cum-_xlpm.w)/_xlpm.tot*_xlpm.n,0)))</f>
        <v>0</v>
      </c>
      <c r="E87" s="691" cm="1">
        <f t="array" aca="1" ref="E87" ca="1">_xlfn.LET(_xlpm.w,INDEX(E$19:E$30,$U87),_xlpm.tot,SUMPRODUCT(E$19:E$30,$T$19:$T$30),_xlpm.n,E$14,_xlpm.cum,SUMPRODUCT((ROW($C$19:$C$30)-18&lt;$U87)*E$19:E$30*$T$19:$T$30)+$V87*_xlpm.w,IF(OR(_xlpm.n="",_xlpm.n=0,_xlpm.tot=0,_xlpm.w=0),0,ROUND(_xlpm.cum/_xlpm.tot*_xlpm.n,0)-ROUND((_xlpm.cum-_xlpm.w)/_xlpm.tot*_xlpm.n,0)))</f>
        <v>1</v>
      </c>
      <c r="F87" s="691" cm="1">
        <f t="array" aca="1" ref="F87" ca="1">_xlfn.LET(_xlpm.w,INDEX(F$19:F$30,$U87),_xlpm.tot,SUMPRODUCT(F$19:F$30,$T$19:$T$30),_xlpm.n,F$14,_xlpm.cum,SUMPRODUCT((ROW($C$19:$C$30)-18&lt;$U87)*F$19:F$30*$T$19:$T$30)+$V87*_xlpm.w,IF(OR(_xlpm.n="",_xlpm.n=0,_xlpm.tot=0,_xlpm.w=0),0,ROUND(_xlpm.cum/_xlpm.tot*_xlpm.n,0)-ROUND((_xlpm.cum-_xlpm.w)/_xlpm.tot*_xlpm.n,0)))</f>
        <v>1</v>
      </c>
      <c r="G87" s="691" cm="1">
        <f t="array" aca="1" ref="G87" ca="1">_xlfn.LET(_xlpm.w,INDEX(G$19:G$30,$U87),_xlpm.tot,SUMPRODUCT(G$19:G$30,$T$19:$T$30),_xlpm.n,G$14,_xlpm.cum,SUMPRODUCT((ROW($C$19:$C$30)-18&lt;$U87)*G$19:G$30*$T$19:$T$30)+$V87*_xlpm.w,IF(OR(_xlpm.n="",_xlpm.n=0,_xlpm.tot=0,_xlpm.w=0),0,ROUND(_xlpm.cum/_xlpm.tot*_xlpm.n,0)-ROUND((_xlpm.cum-_xlpm.w)/_xlpm.tot*_xlpm.n,0)))</f>
        <v>0</v>
      </c>
      <c r="H87" s="691" cm="1">
        <f t="array" aca="1" ref="H87" ca="1">_xlfn.LET(_xlpm.w,INDEX(H$19:H$30,$U87),_xlpm.tot,SUMPRODUCT(H$19:H$30,$T$19:$T$30),_xlpm.n,H$14,_xlpm.cum,SUMPRODUCT((ROW($C$19:$C$30)-18&lt;$U87)*H$19:H$30*$T$19:$T$30)+$V87*_xlpm.w,IF(OR(_xlpm.n="",_xlpm.n=0,_xlpm.tot=0,_xlpm.w=0),0,ROUND(_xlpm.cum/_xlpm.tot*_xlpm.n,0)-ROUND((_xlpm.cum-_xlpm.w)/_xlpm.tot*_xlpm.n,0)))</f>
        <v>0</v>
      </c>
      <c r="I87" s="691" cm="1">
        <f t="array" aca="1" ref="I87" ca="1">_xlfn.LET(_xlpm.w,INDEX(I$19:I$30,$U87),_xlpm.tot,SUMPRODUCT(I$19:I$30,$T$19:$T$30),_xlpm.n,I$14,_xlpm.cum,SUMPRODUCT((ROW($C$19:$C$30)-18&lt;$U87)*I$19:I$30*$T$19:$T$30)+$V87*_xlpm.w,IF(OR(_xlpm.n="",_xlpm.n=0,_xlpm.tot=0,_xlpm.w=0),0,ROUND(_xlpm.cum/_xlpm.tot*_xlpm.n,0)-ROUND((_xlpm.cum-_xlpm.w)/_xlpm.tot*_xlpm.n,0)))</f>
        <v>0</v>
      </c>
      <c r="J87" s="691" cm="1">
        <f t="array" aca="1" ref="J87" ca="1">_xlfn.LET(_xlpm.w,INDEX(J$19:J$30,$U87),_xlpm.tot,SUMPRODUCT(J$19:J$30,$T$19:$T$30),_xlpm.n,J$14,_xlpm.cum,SUMPRODUCT((ROW($C$19:$C$30)-18&lt;$U87)*J$19:J$30*$T$19:$T$30)+$V87*_xlpm.w,IF(OR(_xlpm.n="",_xlpm.n=0,_xlpm.tot=0,_xlpm.w=0),0,ROUND(_xlpm.cum/_xlpm.tot*_xlpm.n,0)-ROUND((_xlpm.cum-_xlpm.w)/_xlpm.tot*_xlpm.n,0)))</f>
        <v>0</v>
      </c>
      <c r="K87" s="691" cm="1">
        <f t="array" aca="1" ref="K87" ca="1">_xlfn.LET(_xlpm.w,INDEX(K$19:K$30,$U87),_xlpm.tot,SUMPRODUCT(K$19:K$30,$T$19:$T$30),_xlpm.n,K$14,_xlpm.cum,SUMPRODUCT((ROW($C$19:$C$30)-18&lt;$U87)*K$19:K$30*$T$19:$T$30)+$V87*_xlpm.w,IF(OR(_xlpm.n="",_xlpm.n=0,_xlpm.tot=0,_xlpm.w=0),0,ROUND(_xlpm.cum/_xlpm.tot*_xlpm.n,0)-ROUND((_xlpm.cum-_xlpm.w)/_xlpm.tot*_xlpm.n,0)))</f>
        <v>0</v>
      </c>
      <c r="L87" s="691" cm="1">
        <f t="array" aca="1" ref="L87" ca="1">_xlfn.LET(_xlpm.w,INDEX(L$19:L$30,$U87),_xlpm.tot,SUMPRODUCT(L$19:L$30,$T$19:$T$30),_xlpm.n,L$14,_xlpm.cum,SUMPRODUCT((ROW($C$19:$C$30)-18&lt;$U87)*L$19:L$30*$T$19:$T$30)+$V87*_xlpm.w,IF(OR(_xlpm.n="",_xlpm.n=0,_xlpm.tot=0,_xlpm.w=0),0,ROUND(_xlpm.cum/_xlpm.tot*_xlpm.n,0)-ROUND((_xlpm.cum-_xlpm.w)/_xlpm.tot*_xlpm.n,0)))</f>
        <v>0</v>
      </c>
      <c r="M87" s="691" cm="1">
        <f t="array" aca="1" ref="M87" ca="1">_xlfn.LET(_xlpm.w,INDEX(M$19:M$30,$U87),_xlpm.tot,SUMPRODUCT(M$19:M$30,$T$19:$T$30),_xlpm.n,M$14,_xlpm.cum,SUMPRODUCT((ROW($C$19:$C$30)-18&lt;$U87)*M$19:M$30*$T$19:$T$30)+$V87*_xlpm.w,IF(OR(_xlpm.n="",_xlpm.n=0,_xlpm.tot=0,_xlpm.w=0),0,ROUND(_xlpm.cum/_xlpm.tot*_xlpm.n,0)-ROUND((_xlpm.cum-_xlpm.w)/_xlpm.tot*_xlpm.n,0)))</f>
        <v>0</v>
      </c>
      <c r="N87" s="691" cm="1">
        <f t="array" aca="1" ref="N87" ca="1">_xlfn.LET(_xlpm.w,INDEX(N$19:N$30,$U87),_xlpm.tot,SUMPRODUCT(N$19:N$30,$T$19:$T$30),_xlpm.n,N$14,_xlpm.cum,SUMPRODUCT((ROW($C$19:$C$30)-18&lt;$U87)*N$19:N$30*$T$19:$T$30)+$V87*_xlpm.w,IF(OR(_xlpm.n="",_xlpm.n=0,_xlpm.tot=0,_xlpm.w=0),0,ROUND(_xlpm.cum/_xlpm.tot*_xlpm.n,0)-ROUND((_xlpm.cum-_xlpm.w)/_xlpm.tot*_xlpm.n,0)))</f>
        <v>0</v>
      </c>
      <c r="O87" s="691" cm="1">
        <f t="array" aca="1" ref="O87" ca="1">_xlfn.LET(_xlpm.w,INDEX(O$19:O$30,$U87),_xlpm.tot,SUMPRODUCT(O$19:O$30,$T$19:$T$30),_xlpm.n,O$14,_xlpm.cum,SUMPRODUCT((ROW($C$19:$C$30)-18&lt;$U87)*O$19:O$30*$T$19:$T$30)+$V87*_xlpm.w,IF(OR(_xlpm.n="",_xlpm.n=0,_xlpm.tot=0,_xlpm.w=0),0,ROUND(_xlpm.cum/_xlpm.tot*_xlpm.n,0)-ROUND((_xlpm.cum-_xlpm.w)/_xlpm.tot*_xlpm.n,0)))</f>
        <v>0</v>
      </c>
      <c r="P87" s="691" cm="1">
        <f t="array" aca="1" ref="P87" ca="1">_xlfn.LET(_xlpm.w,INDEX(P$19:P$30,$U87),_xlpm.tot,SUMPRODUCT(P$19:P$30,$T$19:$T$30),_xlpm.n,P$14,_xlpm.cum,SUMPRODUCT((ROW($C$19:$C$30)-18&lt;$U87)*P$19:P$30*$T$19:$T$30)+$V87*_xlpm.w,IF(OR(_xlpm.n="",_xlpm.n=0,_xlpm.tot=0,_xlpm.w=0),0,ROUND(_xlpm.cum/_xlpm.tot*_xlpm.n,0)-ROUND((_xlpm.cum-_xlpm.w)/_xlpm.tot*_xlpm.n,0)))</f>
        <v>0</v>
      </c>
      <c r="Q87" s="691" cm="1">
        <f t="array" aca="1" ref="Q87" ca="1">_xlfn.LET(_xlpm.w,INDEX(Q$19:Q$30,$U87),_xlpm.tot,SUMPRODUCT(Q$19:Q$30,$T$19:$T$30),_xlpm.n,Q$14,_xlpm.cum,SUMPRODUCT((ROW($C$19:$C$30)-18&lt;$U87)*Q$19:Q$30*$T$19:$T$30)+$V87*_xlpm.w,IF(OR(_xlpm.n="",_xlpm.n=0,_xlpm.tot=0,_xlpm.w=0),0,ROUND(_xlpm.cum/_xlpm.tot*_xlpm.n,0)-ROUND((_xlpm.cum-_xlpm.w)/_xlpm.tot*_xlpm.n,0)))</f>
        <v>0</v>
      </c>
      <c r="R87" s="691" cm="1">
        <f t="array" aca="1" ref="R87" ca="1">_xlfn.LET(_xlpm.w,INDEX(R$19:R$30,$U87),_xlpm.tot,SUMPRODUCT(R$19:R$30,$T$19:$T$30),_xlpm.n,R$14,_xlpm.cum,SUMPRODUCT((ROW($C$19:$C$30)-18&lt;$U87)*R$19:R$30*$T$19:$T$30)+$V87*_xlpm.w,IF(OR(_xlpm.n="",_xlpm.n=0,_xlpm.tot=0,_xlpm.w=0),0,ROUND(_xlpm.cum/_xlpm.tot*_xlpm.n,0)-ROUND((_xlpm.cum-_xlpm.w)/_xlpm.tot*_xlpm.n,0)))</f>
        <v>0</v>
      </c>
      <c r="S87" s="692">
        <f t="shared" ca="1" si="16"/>
        <v>3</v>
      </c>
      <c r="T87" s="693">
        <f t="shared" ca="1" si="17"/>
        <v>46240</v>
      </c>
      <c r="U87" s="694">
        <f t="shared" ca="1" si="18"/>
        <v>8</v>
      </c>
      <c r="V87" s="694">
        <f ca="1">COUNTIFS($U$56:$U87,$U87)</f>
        <v>2</v>
      </c>
      <c r="W87" s="695">
        <f t="shared" ca="1" si="19"/>
        <v>14.4</v>
      </c>
      <c r="X87" s="696" cm="1">
        <f t="array" aca="1" ref="X87" ca="1">INDEX($U$19:$U$30,$U87)</f>
        <v>20</v>
      </c>
      <c r="Y87" s="697">
        <f t="shared" ca="1" si="20"/>
        <v>0.72</v>
      </c>
      <c r="Z87" s="698" t="str">
        <f t="shared" ca="1" si="21"/>
        <v>OK</v>
      </c>
    </row>
    <row r="88" spans="1:26" ht="13.95" customHeight="1">
      <c r="A88" s="689">
        <f t="shared" si="22"/>
        <v>33</v>
      </c>
      <c r="B88" s="690" t="str" cm="1">
        <f t="array" aca="1" ref="B88" ca="1">INDEX($B$19:$B$30,$U88)</f>
        <v>AOÛT</v>
      </c>
      <c r="C88" s="691" cm="1">
        <f t="array" aca="1" ref="C88" ca="1">_xlfn.LET(_xlpm.w,INDEX(C$19:C$30,$U88),_xlpm.tot,SUMPRODUCT(C$19:C$30,$T$19:$T$30),_xlpm.n,C$14,_xlpm.cum,SUMPRODUCT((ROW($C$19:$C$30)-18&lt;$U88)*C$19:C$30*$T$19:$T$30)+$V88*_xlpm.w,IF(OR(_xlpm.n="",_xlpm.n=0,_xlpm.tot=0,_xlpm.w=0),0,ROUND(_xlpm.cum/_xlpm.tot*_xlpm.n,0)-ROUND((_xlpm.cum-_xlpm.w)/_xlpm.tot*_xlpm.n,0)))</f>
        <v>0</v>
      </c>
      <c r="D88" s="691" cm="1">
        <f t="array" aca="1" ref="D88" ca="1">_xlfn.LET(_xlpm.w,INDEX(D$19:D$30,$U88),_xlpm.tot,SUMPRODUCT(D$19:D$30,$T$19:$T$30),_xlpm.n,D$14,_xlpm.cum,SUMPRODUCT((ROW($C$19:$C$30)-18&lt;$U88)*D$19:D$30*$T$19:$T$30)+$V88*_xlpm.w,IF(OR(_xlpm.n="",_xlpm.n=0,_xlpm.tot=0,_xlpm.w=0),0,ROUND(_xlpm.cum/_xlpm.tot*_xlpm.n,0)-ROUND((_xlpm.cum-_xlpm.w)/_xlpm.tot*_xlpm.n,0)))</f>
        <v>0</v>
      </c>
      <c r="E88" s="691" cm="1">
        <f t="array" aca="1" ref="E88" ca="1">_xlfn.LET(_xlpm.w,INDEX(E$19:E$30,$U88),_xlpm.tot,SUMPRODUCT(E$19:E$30,$T$19:$T$30),_xlpm.n,E$14,_xlpm.cum,SUMPRODUCT((ROW($C$19:$C$30)-18&lt;$U88)*E$19:E$30*$T$19:$T$30)+$V88*_xlpm.w,IF(OR(_xlpm.n="",_xlpm.n=0,_xlpm.tot=0,_xlpm.w=0),0,ROUND(_xlpm.cum/_xlpm.tot*_xlpm.n,0)-ROUND((_xlpm.cum-_xlpm.w)/_xlpm.tot*_xlpm.n,0)))</f>
        <v>1</v>
      </c>
      <c r="F88" s="691" cm="1">
        <f t="array" aca="1" ref="F88" ca="1">_xlfn.LET(_xlpm.w,INDEX(F$19:F$30,$U88),_xlpm.tot,SUMPRODUCT(F$19:F$30,$T$19:$T$30),_xlpm.n,F$14,_xlpm.cum,SUMPRODUCT((ROW($C$19:$C$30)-18&lt;$U88)*F$19:F$30*$T$19:$T$30)+$V88*_xlpm.w,IF(OR(_xlpm.n="",_xlpm.n=0,_xlpm.tot=0,_xlpm.w=0),0,ROUND(_xlpm.cum/_xlpm.tot*_xlpm.n,0)-ROUND((_xlpm.cum-_xlpm.w)/_xlpm.tot*_xlpm.n,0)))</f>
        <v>1</v>
      </c>
      <c r="G88" s="691" cm="1">
        <f t="array" aca="1" ref="G88" ca="1">_xlfn.LET(_xlpm.w,INDEX(G$19:G$30,$U88),_xlpm.tot,SUMPRODUCT(G$19:G$30,$T$19:$T$30),_xlpm.n,G$14,_xlpm.cum,SUMPRODUCT((ROW($C$19:$C$30)-18&lt;$U88)*G$19:G$30*$T$19:$T$30)+$V88*_xlpm.w,IF(OR(_xlpm.n="",_xlpm.n=0,_xlpm.tot=0,_xlpm.w=0),0,ROUND(_xlpm.cum/_xlpm.tot*_xlpm.n,0)-ROUND((_xlpm.cum-_xlpm.w)/_xlpm.tot*_xlpm.n,0)))</f>
        <v>0</v>
      </c>
      <c r="H88" s="691" cm="1">
        <f t="array" aca="1" ref="H88" ca="1">_xlfn.LET(_xlpm.w,INDEX(H$19:H$30,$U88),_xlpm.tot,SUMPRODUCT(H$19:H$30,$T$19:$T$30),_xlpm.n,H$14,_xlpm.cum,SUMPRODUCT((ROW($C$19:$C$30)-18&lt;$U88)*H$19:H$30*$T$19:$T$30)+$V88*_xlpm.w,IF(OR(_xlpm.n="",_xlpm.n=0,_xlpm.tot=0,_xlpm.w=0),0,ROUND(_xlpm.cum/_xlpm.tot*_xlpm.n,0)-ROUND((_xlpm.cum-_xlpm.w)/_xlpm.tot*_xlpm.n,0)))</f>
        <v>0</v>
      </c>
      <c r="I88" s="691" cm="1">
        <f t="array" aca="1" ref="I88" ca="1">_xlfn.LET(_xlpm.w,INDEX(I$19:I$30,$U88),_xlpm.tot,SUMPRODUCT(I$19:I$30,$T$19:$T$30),_xlpm.n,I$14,_xlpm.cum,SUMPRODUCT((ROW($C$19:$C$30)-18&lt;$U88)*I$19:I$30*$T$19:$T$30)+$V88*_xlpm.w,IF(OR(_xlpm.n="",_xlpm.n=0,_xlpm.tot=0,_xlpm.w=0),0,ROUND(_xlpm.cum/_xlpm.tot*_xlpm.n,0)-ROUND((_xlpm.cum-_xlpm.w)/_xlpm.tot*_xlpm.n,0)))</f>
        <v>0</v>
      </c>
      <c r="J88" s="691" cm="1">
        <f t="array" aca="1" ref="J88" ca="1">_xlfn.LET(_xlpm.w,INDEX(J$19:J$30,$U88),_xlpm.tot,SUMPRODUCT(J$19:J$30,$T$19:$T$30),_xlpm.n,J$14,_xlpm.cum,SUMPRODUCT((ROW($C$19:$C$30)-18&lt;$U88)*J$19:J$30*$T$19:$T$30)+$V88*_xlpm.w,IF(OR(_xlpm.n="",_xlpm.n=0,_xlpm.tot=0,_xlpm.w=0),0,ROUND(_xlpm.cum/_xlpm.tot*_xlpm.n,0)-ROUND((_xlpm.cum-_xlpm.w)/_xlpm.tot*_xlpm.n,0)))</f>
        <v>0</v>
      </c>
      <c r="K88" s="691" cm="1">
        <f t="array" aca="1" ref="K88" ca="1">_xlfn.LET(_xlpm.w,INDEX(K$19:K$30,$U88),_xlpm.tot,SUMPRODUCT(K$19:K$30,$T$19:$T$30),_xlpm.n,K$14,_xlpm.cum,SUMPRODUCT((ROW($C$19:$C$30)-18&lt;$U88)*K$19:K$30*$T$19:$T$30)+$V88*_xlpm.w,IF(OR(_xlpm.n="",_xlpm.n=0,_xlpm.tot=0,_xlpm.w=0),0,ROUND(_xlpm.cum/_xlpm.tot*_xlpm.n,0)-ROUND((_xlpm.cum-_xlpm.w)/_xlpm.tot*_xlpm.n,0)))</f>
        <v>0</v>
      </c>
      <c r="L88" s="691" cm="1">
        <f t="array" aca="1" ref="L88" ca="1">_xlfn.LET(_xlpm.w,INDEX(L$19:L$30,$U88),_xlpm.tot,SUMPRODUCT(L$19:L$30,$T$19:$T$30),_xlpm.n,L$14,_xlpm.cum,SUMPRODUCT((ROW($C$19:$C$30)-18&lt;$U88)*L$19:L$30*$T$19:$T$30)+$V88*_xlpm.w,IF(OR(_xlpm.n="",_xlpm.n=0,_xlpm.tot=0,_xlpm.w=0),0,ROUND(_xlpm.cum/_xlpm.tot*_xlpm.n,0)-ROUND((_xlpm.cum-_xlpm.w)/_xlpm.tot*_xlpm.n,0)))</f>
        <v>0</v>
      </c>
      <c r="M88" s="691" cm="1">
        <f t="array" aca="1" ref="M88" ca="1">_xlfn.LET(_xlpm.w,INDEX(M$19:M$30,$U88),_xlpm.tot,SUMPRODUCT(M$19:M$30,$T$19:$T$30),_xlpm.n,M$14,_xlpm.cum,SUMPRODUCT((ROW($C$19:$C$30)-18&lt;$U88)*M$19:M$30*$T$19:$T$30)+$V88*_xlpm.w,IF(OR(_xlpm.n="",_xlpm.n=0,_xlpm.tot=0,_xlpm.w=0),0,ROUND(_xlpm.cum/_xlpm.tot*_xlpm.n,0)-ROUND((_xlpm.cum-_xlpm.w)/_xlpm.tot*_xlpm.n,0)))</f>
        <v>0</v>
      </c>
      <c r="N88" s="691" cm="1">
        <f t="array" aca="1" ref="N88" ca="1">_xlfn.LET(_xlpm.w,INDEX(N$19:N$30,$U88),_xlpm.tot,SUMPRODUCT(N$19:N$30,$T$19:$T$30),_xlpm.n,N$14,_xlpm.cum,SUMPRODUCT((ROW($C$19:$C$30)-18&lt;$U88)*N$19:N$30*$T$19:$T$30)+$V88*_xlpm.w,IF(OR(_xlpm.n="",_xlpm.n=0,_xlpm.tot=0,_xlpm.w=0),0,ROUND(_xlpm.cum/_xlpm.tot*_xlpm.n,0)-ROUND((_xlpm.cum-_xlpm.w)/_xlpm.tot*_xlpm.n,0)))</f>
        <v>0</v>
      </c>
      <c r="O88" s="691" cm="1">
        <f t="array" aca="1" ref="O88" ca="1">_xlfn.LET(_xlpm.w,INDEX(O$19:O$30,$U88),_xlpm.tot,SUMPRODUCT(O$19:O$30,$T$19:$T$30),_xlpm.n,O$14,_xlpm.cum,SUMPRODUCT((ROW($C$19:$C$30)-18&lt;$U88)*O$19:O$30*$T$19:$T$30)+$V88*_xlpm.w,IF(OR(_xlpm.n="",_xlpm.n=0,_xlpm.tot=0,_xlpm.w=0),0,ROUND(_xlpm.cum/_xlpm.tot*_xlpm.n,0)-ROUND((_xlpm.cum-_xlpm.w)/_xlpm.tot*_xlpm.n,0)))</f>
        <v>0</v>
      </c>
      <c r="P88" s="691" cm="1">
        <f t="array" aca="1" ref="P88" ca="1">_xlfn.LET(_xlpm.w,INDEX(P$19:P$30,$U88),_xlpm.tot,SUMPRODUCT(P$19:P$30,$T$19:$T$30),_xlpm.n,P$14,_xlpm.cum,SUMPRODUCT((ROW($C$19:$C$30)-18&lt;$U88)*P$19:P$30*$T$19:$T$30)+$V88*_xlpm.w,IF(OR(_xlpm.n="",_xlpm.n=0,_xlpm.tot=0,_xlpm.w=0),0,ROUND(_xlpm.cum/_xlpm.tot*_xlpm.n,0)-ROUND((_xlpm.cum-_xlpm.w)/_xlpm.tot*_xlpm.n,0)))</f>
        <v>0</v>
      </c>
      <c r="Q88" s="691" cm="1">
        <f t="array" aca="1" ref="Q88" ca="1">_xlfn.LET(_xlpm.w,INDEX(Q$19:Q$30,$U88),_xlpm.tot,SUMPRODUCT(Q$19:Q$30,$T$19:$T$30),_xlpm.n,Q$14,_xlpm.cum,SUMPRODUCT((ROW($C$19:$C$30)-18&lt;$U88)*Q$19:Q$30*$T$19:$T$30)+$V88*_xlpm.w,IF(OR(_xlpm.n="",_xlpm.n=0,_xlpm.tot=0,_xlpm.w=0),0,ROUND(_xlpm.cum/_xlpm.tot*_xlpm.n,0)-ROUND((_xlpm.cum-_xlpm.w)/_xlpm.tot*_xlpm.n,0)))</f>
        <v>0</v>
      </c>
      <c r="R88" s="691" cm="1">
        <f t="array" aca="1" ref="R88" ca="1">_xlfn.LET(_xlpm.w,INDEX(R$19:R$30,$U88),_xlpm.tot,SUMPRODUCT(R$19:R$30,$T$19:$T$30),_xlpm.n,R$14,_xlpm.cum,SUMPRODUCT((ROW($C$19:$C$30)-18&lt;$U88)*R$19:R$30*$T$19:$T$30)+$V88*_xlpm.w,IF(OR(_xlpm.n="",_xlpm.n=0,_xlpm.tot=0,_xlpm.w=0),0,ROUND(_xlpm.cum/_xlpm.tot*_xlpm.n,0)-ROUND((_xlpm.cum-_xlpm.w)/_xlpm.tot*_xlpm.n,0)))</f>
        <v>0</v>
      </c>
      <c r="S88" s="692">
        <f t="shared" ca="1" si="16"/>
        <v>2</v>
      </c>
      <c r="T88" s="693">
        <f t="shared" ca="1" si="17"/>
        <v>46247</v>
      </c>
      <c r="U88" s="694">
        <f t="shared" ca="1" si="18"/>
        <v>8</v>
      </c>
      <c r="V88" s="694">
        <f ca="1">COUNTIFS($U$56:$U88,$U88)</f>
        <v>3</v>
      </c>
      <c r="W88" s="695">
        <f t="shared" ca="1" si="19"/>
        <v>9.6</v>
      </c>
      <c r="X88" s="696" cm="1">
        <f t="array" aca="1" ref="X88" ca="1">INDEX($U$19:$U$30,$U88)</f>
        <v>20</v>
      </c>
      <c r="Y88" s="697">
        <f t="shared" ca="1" si="20"/>
        <v>0.48</v>
      </c>
      <c r="Z88" s="698" t="str">
        <f t="shared" ca="1" si="21"/>
        <v>OK</v>
      </c>
    </row>
    <row r="89" spans="1:26" ht="13.95" customHeight="1">
      <c r="A89" s="689">
        <f t="shared" si="22"/>
        <v>34</v>
      </c>
      <c r="B89" s="690" t="str" cm="1">
        <f t="array" aca="1" ref="B89" ca="1">INDEX($B$19:$B$30,$U89)</f>
        <v>AOÛT</v>
      </c>
      <c r="C89" s="691" cm="1">
        <f t="array" aca="1" ref="C89" ca="1">_xlfn.LET(_xlpm.w,INDEX(C$19:C$30,$U89),_xlpm.tot,SUMPRODUCT(C$19:C$30,$T$19:$T$30),_xlpm.n,C$14,_xlpm.cum,SUMPRODUCT((ROW($C$19:$C$30)-18&lt;$U89)*C$19:C$30*$T$19:$T$30)+$V89*_xlpm.w,IF(OR(_xlpm.n="",_xlpm.n=0,_xlpm.tot=0,_xlpm.w=0),0,ROUND(_xlpm.cum/_xlpm.tot*_xlpm.n,0)-ROUND((_xlpm.cum-_xlpm.w)/_xlpm.tot*_xlpm.n,0)))</f>
        <v>1</v>
      </c>
      <c r="D89" s="691" cm="1">
        <f t="array" aca="1" ref="D89" ca="1">_xlfn.LET(_xlpm.w,INDEX(D$19:D$30,$U89),_xlpm.tot,SUMPRODUCT(D$19:D$30,$T$19:$T$30),_xlpm.n,D$14,_xlpm.cum,SUMPRODUCT((ROW($C$19:$C$30)-18&lt;$U89)*D$19:D$30*$T$19:$T$30)+$V89*_xlpm.w,IF(OR(_xlpm.n="",_xlpm.n=0,_xlpm.tot=0,_xlpm.w=0),0,ROUND(_xlpm.cum/_xlpm.tot*_xlpm.n,0)-ROUND((_xlpm.cum-_xlpm.w)/_xlpm.tot*_xlpm.n,0)))</f>
        <v>0</v>
      </c>
      <c r="E89" s="691" cm="1">
        <f t="array" aca="1" ref="E89" ca="1">_xlfn.LET(_xlpm.w,INDEX(E$19:E$30,$U89),_xlpm.tot,SUMPRODUCT(E$19:E$30,$T$19:$T$30),_xlpm.n,E$14,_xlpm.cum,SUMPRODUCT((ROW($C$19:$C$30)-18&lt;$U89)*E$19:E$30*$T$19:$T$30)+$V89*_xlpm.w,IF(OR(_xlpm.n="",_xlpm.n=0,_xlpm.tot=0,_xlpm.w=0),0,ROUND(_xlpm.cum/_xlpm.tot*_xlpm.n,0)-ROUND((_xlpm.cum-_xlpm.w)/_xlpm.tot*_xlpm.n,0)))</f>
        <v>1</v>
      </c>
      <c r="F89" s="691" cm="1">
        <f t="array" aca="1" ref="F89" ca="1">_xlfn.LET(_xlpm.w,INDEX(F$19:F$30,$U89),_xlpm.tot,SUMPRODUCT(F$19:F$30,$T$19:$T$30),_xlpm.n,F$14,_xlpm.cum,SUMPRODUCT((ROW($C$19:$C$30)-18&lt;$U89)*F$19:F$30*$T$19:$T$30)+$V89*_xlpm.w,IF(OR(_xlpm.n="",_xlpm.n=0,_xlpm.tot=0,_xlpm.w=0),0,ROUND(_xlpm.cum/_xlpm.tot*_xlpm.n,0)-ROUND((_xlpm.cum-_xlpm.w)/_xlpm.tot*_xlpm.n,0)))</f>
        <v>1</v>
      </c>
      <c r="G89" s="691" cm="1">
        <f t="array" aca="1" ref="G89" ca="1">_xlfn.LET(_xlpm.w,INDEX(G$19:G$30,$U89),_xlpm.tot,SUMPRODUCT(G$19:G$30,$T$19:$T$30),_xlpm.n,G$14,_xlpm.cum,SUMPRODUCT((ROW($C$19:$C$30)-18&lt;$U89)*G$19:G$30*$T$19:$T$30)+$V89*_xlpm.w,IF(OR(_xlpm.n="",_xlpm.n=0,_xlpm.tot=0,_xlpm.w=0),0,ROUND(_xlpm.cum/_xlpm.tot*_xlpm.n,0)-ROUND((_xlpm.cum-_xlpm.w)/_xlpm.tot*_xlpm.n,0)))</f>
        <v>0</v>
      </c>
      <c r="H89" s="691" cm="1">
        <f t="array" aca="1" ref="H89" ca="1">_xlfn.LET(_xlpm.w,INDEX(H$19:H$30,$U89),_xlpm.tot,SUMPRODUCT(H$19:H$30,$T$19:$T$30),_xlpm.n,H$14,_xlpm.cum,SUMPRODUCT((ROW($C$19:$C$30)-18&lt;$U89)*H$19:H$30*$T$19:$T$30)+$V89*_xlpm.w,IF(OR(_xlpm.n="",_xlpm.n=0,_xlpm.tot=0,_xlpm.w=0),0,ROUND(_xlpm.cum/_xlpm.tot*_xlpm.n,0)-ROUND((_xlpm.cum-_xlpm.w)/_xlpm.tot*_xlpm.n,0)))</f>
        <v>0</v>
      </c>
      <c r="I89" s="691" cm="1">
        <f t="array" aca="1" ref="I89" ca="1">_xlfn.LET(_xlpm.w,INDEX(I$19:I$30,$U89),_xlpm.tot,SUMPRODUCT(I$19:I$30,$T$19:$T$30),_xlpm.n,I$14,_xlpm.cum,SUMPRODUCT((ROW($C$19:$C$30)-18&lt;$U89)*I$19:I$30*$T$19:$T$30)+$V89*_xlpm.w,IF(OR(_xlpm.n="",_xlpm.n=0,_xlpm.tot=0,_xlpm.w=0),0,ROUND(_xlpm.cum/_xlpm.tot*_xlpm.n,0)-ROUND((_xlpm.cum-_xlpm.w)/_xlpm.tot*_xlpm.n,0)))</f>
        <v>0</v>
      </c>
      <c r="J89" s="691" cm="1">
        <f t="array" aca="1" ref="J89" ca="1">_xlfn.LET(_xlpm.w,INDEX(J$19:J$30,$U89),_xlpm.tot,SUMPRODUCT(J$19:J$30,$T$19:$T$30),_xlpm.n,J$14,_xlpm.cum,SUMPRODUCT((ROW($C$19:$C$30)-18&lt;$U89)*J$19:J$30*$T$19:$T$30)+$V89*_xlpm.w,IF(OR(_xlpm.n="",_xlpm.n=0,_xlpm.tot=0,_xlpm.w=0),0,ROUND(_xlpm.cum/_xlpm.tot*_xlpm.n,0)-ROUND((_xlpm.cum-_xlpm.w)/_xlpm.tot*_xlpm.n,0)))</f>
        <v>0</v>
      </c>
      <c r="K89" s="691" cm="1">
        <f t="array" aca="1" ref="K89" ca="1">_xlfn.LET(_xlpm.w,INDEX(K$19:K$30,$U89),_xlpm.tot,SUMPRODUCT(K$19:K$30,$T$19:$T$30),_xlpm.n,K$14,_xlpm.cum,SUMPRODUCT((ROW($C$19:$C$30)-18&lt;$U89)*K$19:K$30*$T$19:$T$30)+$V89*_xlpm.w,IF(OR(_xlpm.n="",_xlpm.n=0,_xlpm.tot=0,_xlpm.w=0),0,ROUND(_xlpm.cum/_xlpm.tot*_xlpm.n,0)-ROUND((_xlpm.cum-_xlpm.w)/_xlpm.tot*_xlpm.n,0)))</f>
        <v>0</v>
      </c>
      <c r="L89" s="691" cm="1">
        <f t="array" aca="1" ref="L89" ca="1">_xlfn.LET(_xlpm.w,INDEX(L$19:L$30,$U89),_xlpm.tot,SUMPRODUCT(L$19:L$30,$T$19:$T$30),_xlpm.n,L$14,_xlpm.cum,SUMPRODUCT((ROW($C$19:$C$30)-18&lt;$U89)*L$19:L$30*$T$19:$T$30)+$V89*_xlpm.w,IF(OR(_xlpm.n="",_xlpm.n=0,_xlpm.tot=0,_xlpm.w=0),0,ROUND(_xlpm.cum/_xlpm.tot*_xlpm.n,0)-ROUND((_xlpm.cum-_xlpm.w)/_xlpm.tot*_xlpm.n,0)))</f>
        <v>0</v>
      </c>
      <c r="M89" s="691" cm="1">
        <f t="array" aca="1" ref="M89" ca="1">_xlfn.LET(_xlpm.w,INDEX(M$19:M$30,$U89),_xlpm.tot,SUMPRODUCT(M$19:M$30,$T$19:$T$30),_xlpm.n,M$14,_xlpm.cum,SUMPRODUCT((ROW($C$19:$C$30)-18&lt;$U89)*M$19:M$30*$T$19:$T$30)+$V89*_xlpm.w,IF(OR(_xlpm.n="",_xlpm.n=0,_xlpm.tot=0,_xlpm.w=0),0,ROUND(_xlpm.cum/_xlpm.tot*_xlpm.n,0)-ROUND((_xlpm.cum-_xlpm.w)/_xlpm.tot*_xlpm.n,0)))</f>
        <v>0</v>
      </c>
      <c r="N89" s="691" cm="1">
        <f t="array" aca="1" ref="N89" ca="1">_xlfn.LET(_xlpm.w,INDEX(N$19:N$30,$U89),_xlpm.tot,SUMPRODUCT(N$19:N$30,$T$19:$T$30),_xlpm.n,N$14,_xlpm.cum,SUMPRODUCT((ROW($C$19:$C$30)-18&lt;$U89)*N$19:N$30*$T$19:$T$30)+$V89*_xlpm.w,IF(OR(_xlpm.n="",_xlpm.n=0,_xlpm.tot=0,_xlpm.w=0),0,ROUND(_xlpm.cum/_xlpm.tot*_xlpm.n,0)-ROUND((_xlpm.cum-_xlpm.w)/_xlpm.tot*_xlpm.n,0)))</f>
        <v>0</v>
      </c>
      <c r="O89" s="691" cm="1">
        <f t="array" aca="1" ref="O89" ca="1">_xlfn.LET(_xlpm.w,INDEX(O$19:O$30,$U89),_xlpm.tot,SUMPRODUCT(O$19:O$30,$T$19:$T$30),_xlpm.n,O$14,_xlpm.cum,SUMPRODUCT((ROW($C$19:$C$30)-18&lt;$U89)*O$19:O$30*$T$19:$T$30)+$V89*_xlpm.w,IF(OR(_xlpm.n="",_xlpm.n=0,_xlpm.tot=0,_xlpm.w=0),0,ROUND(_xlpm.cum/_xlpm.tot*_xlpm.n,0)-ROUND((_xlpm.cum-_xlpm.w)/_xlpm.tot*_xlpm.n,0)))</f>
        <v>0</v>
      </c>
      <c r="P89" s="691" cm="1">
        <f t="array" aca="1" ref="P89" ca="1">_xlfn.LET(_xlpm.w,INDEX(P$19:P$30,$U89),_xlpm.tot,SUMPRODUCT(P$19:P$30,$T$19:$T$30),_xlpm.n,P$14,_xlpm.cum,SUMPRODUCT((ROW($C$19:$C$30)-18&lt;$U89)*P$19:P$30*$T$19:$T$30)+$V89*_xlpm.w,IF(OR(_xlpm.n="",_xlpm.n=0,_xlpm.tot=0,_xlpm.w=0),0,ROUND(_xlpm.cum/_xlpm.tot*_xlpm.n,0)-ROUND((_xlpm.cum-_xlpm.w)/_xlpm.tot*_xlpm.n,0)))</f>
        <v>0</v>
      </c>
      <c r="Q89" s="691" cm="1">
        <f t="array" aca="1" ref="Q89" ca="1">_xlfn.LET(_xlpm.w,INDEX(Q$19:Q$30,$U89),_xlpm.tot,SUMPRODUCT(Q$19:Q$30,$T$19:$T$30),_xlpm.n,Q$14,_xlpm.cum,SUMPRODUCT((ROW($C$19:$C$30)-18&lt;$U89)*Q$19:Q$30*$T$19:$T$30)+$V89*_xlpm.w,IF(OR(_xlpm.n="",_xlpm.n=0,_xlpm.tot=0,_xlpm.w=0),0,ROUND(_xlpm.cum/_xlpm.tot*_xlpm.n,0)-ROUND((_xlpm.cum-_xlpm.w)/_xlpm.tot*_xlpm.n,0)))</f>
        <v>0</v>
      </c>
      <c r="R89" s="691" cm="1">
        <f t="array" aca="1" ref="R89" ca="1">_xlfn.LET(_xlpm.w,INDEX(R$19:R$30,$U89),_xlpm.tot,SUMPRODUCT(R$19:R$30,$T$19:$T$30),_xlpm.n,R$14,_xlpm.cum,SUMPRODUCT((ROW($C$19:$C$30)-18&lt;$U89)*R$19:R$30*$T$19:$T$30)+$V89*_xlpm.w,IF(OR(_xlpm.n="",_xlpm.n=0,_xlpm.tot=0,_xlpm.w=0),0,ROUND(_xlpm.cum/_xlpm.tot*_xlpm.n,0)-ROUND((_xlpm.cum-_xlpm.w)/_xlpm.tot*_xlpm.n,0)))</f>
        <v>0</v>
      </c>
      <c r="S89" s="692">
        <f t="shared" ca="1" si="16"/>
        <v>3</v>
      </c>
      <c r="T89" s="693">
        <f t="shared" ca="1" si="17"/>
        <v>46254</v>
      </c>
      <c r="U89" s="694">
        <f t="shared" ca="1" si="18"/>
        <v>8</v>
      </c>
      <c r="V89" s="694">
        <f ca="1">COUNTIFS($U$56:$U89,$U89)</f>
        <v>4</v>
      </c>
      <c r="W89" s="695">
        <f t="shared" ca="1" si="19"/>
        <v>14.4</v>
      </c>
      <c r="X89" s="696" cm="1">
        <f t="array" aca="1" ref="X89" ca="1">INDEX($U$19:$U$30,$U89)</f>
        <v>20</v>
      </c>
      <c r="Y89" s="697">
        <f t="shared" ca="1" si="20"/>
        <v>0.72</v>
      </c>
      <c r="Z89" s="698" t="str">
        <f t="shared" ca="1" si="21"/>
        <v>OK</v>
      </c>
    </row>
    <row r="90" spans="1:26" ht="13.95" customHeight="1">
      <c r="A90" s="689">
        <f t="shared" si="22"/>
        <v>35</v>
      </c>
      <c r="B90" s="690" t="str" cm="1">
        <f t="array" aca="1" ref="B90" ca="1">INDEX($B$19:$B$30,$U90)</f>
        <v>AOÛT</v>
      </c>
      <c r="C90" s="691" cm="1">
        <f t="array" aca="1" ref="C90" ca="1">_xlfn.LET(_xlpm.w,INDEX(C$19:C$30,$U90),_xlpm.tot,SUMPRODUCT(C$19:C$30,$T$19:$T$30),_xlpm.n,C$14,_xlpm.cum,SUMPRODUCT((ROW($C$19:$C$30)-18&lt;$U90)*C$19:C$30*$T$19:$T$30)+$V90*_xlpm.w,IF(OR(_xlpm.n="",_xlpm.n=0,_xlpm.tot=0,_xlpm.w=0),0,ROUND(_xlpm.cum/_xlpm.tot*_xlpm.n,0)-ROUND((_xlpm.cum-_xlpm.w)/_xlpm.tot*_xlpm.n,0)))</f>
        <v>0</v>
      </c>
      <c r="D90" s="691" cm="1">
        <f t="array" aca="1" ref="D90" ca="1">_xlfn.LET(_xlpm.w,INDEX(D$19:D$30,$U90),_xlpm.tot,SUMPRODUCT(D$19:D$30,$T$19:$T$30),_xlpm.n,D$14,_xlpm.cum,SUMPRODUCT((ROW($C$19:$C$30)-18&lt;$U90)*D$19:D$30*$T$19:$T$30)+$V90*_xlpm.w,IF(OR(_xlpm.n="",_xlpm.n=0,_xlpm.tot=0,_xlpm.w=0),0,ROUND(_xlpm.cum/_xlpm.tot*_xlpm.n,0)-ROUND((_xlpm.cum-_xlpm.w)/_xlpm.tot*_xlpm.n,0)))</f>
        <v>0</v>
      </c>
      <c r="E90" s="691" cm="1">
        <f t="array" aca="1" ref="E90" ca="1">_xlfn.LET(_xlpm.w,INDEX(E$19:E$30,$U90),_xlpm.tot,SUMPRODUCT(E$19:E$30,$T$19:$T$30),_xlpm.n,E$14,_xlpm.cum,SUMPRODUCT((ROW($C$19:$C$30)-18&lt;$U90)*E$19:E$30*$T$19:$T$30)+$V90*_xlpm.w,IF(OR(_xlpm.n="",_xlpm.n=0,_xlpm.tot=0,_xlpm.w=0),0,ROUND(_xlpm.cum/_xlpm.tot*_xlpm.n,0)-ROUND((_xlpm.cum-_xlpm.w)/_xlpm.tot*_xlpm.n,0)))</f>
        <v>1</v>
      </c>
      <c r="F90" s="691" cm="1">
        <f t="array" aca="1" ref="F90" ca="1">_xlfn.LET(_xlpm.w,INDEX(F$19:F$30,$U90),_xlpm.tot,SUMPRODUCT(F$19:F$30,$T$19:$T$30),_xlpm.n,F$14,_xlpm.cum,SUMPRODUCT((ROW($C$19:$C$30)-18&lt;$U90)*F$19:F$30*$T$19:$T$30)+$V90*_xlpm.w,IF(OR(_xlpm.n="",_xlpm.n=0,_xlpm.tot=0,_xlpm.w=0),0,ROUND(_xlpm.cum/_xlpm.tot*_xlpm.n,0)-ROUND((_xlpm.cum-_xlpm.w)/_xlpm.tot*_xlpm.n,0)))</f>
        <v>0</v>
      </c>
      <c r="G90" s="691" cm="1">
        <f t="array" aca="1" ref="G90" ca="1">_xlfn.LET(_xlpm.w,INDEX(G$19:G$30,$U90),_xlpm.tot,SUMPRODUCT(G$19:G$30,$T$19:$T$30),_xlpm.n,G$14,_xlpm.cum,SUMPRODUCT((ROW($C$19:$C$30)-18&lt;$U90)*G$19:G$30*$T$19:$T$30)+$V90*_xlpm.w,IF(OR(_xlpm.n="",_xlpm.n=0,_xlpm.tot=0,_xlpm.w=0),0,ROUND(_xlpm.cum/_xlpm.tot*_xlpm.n,0)-ROUND((_xlpm.cum-_xlpm.w)/_xlpm.tot*_xlpm.n,0)))</f>
        <v>0</v>
      </c>
      <c r="H90" s="691" cm="1">
        <f t="array" aca="1" ref="H90" ca="1">_xlfn.LET(_xlpm.w,INDEX(H$19:H$30,$U90),_xlpm.tot,SUMPRODUCT(H$19:H$30,$T$19:$T$30),_xlpm.n,H$14,_xlpm.cum,SUMPRODUCT((ROW($C$19:$C$30)-18&lt;$U90)*H$19:H$30*$T$19:$T$30)+$V90*_xlpm.w,IF(OR(_xlpm.n="",_xlpm.n=0,_xlpm.tot=0,_xlpm.w=0),0,ROUND(_xlpm.cum/_xlpm.tot*_xlpm.n,0)-ROUND((_xlpm.cum-_xlpm.w)/_xlpm.tot*_xlpm.n,0)))</f>
        <v>0</v>
      </c>
      <c r="I90" s="691" cm="1">
        <f t="array" aca="1" ref="I90" ca="1">_xlfn.LET(_xlpm.w,INDEX(I$19:I$30,$U90),_xlpm.tot,SUMPRODUCT(I$19:I$30,$T$19:$T$30),_xlpm.n,I$14,_xlpm.cum,SUMPRODUCT((ROW($C$19:$C$30)-18&lt;$U90)*I$19:I$30*$T$19:$T$30)+$V90*_xlpm.w,IF(OR(_xlpm.n="",_xlpm.n=0,_xlpm.tot=0,_xlpm.w=0),0,ROUND(_xlpm.cum/_xlpm.tot*_xlpm.n,0)-ROUND((_xlpm.cum-_xlpm.w)/_xlpm.tot*_xlpm.n,0)))</f>
        <v>0</v>
      </c>
      <c r="J90" s="691" cm="1">
        <f t="array" aca="1" ref="J90" ca="1">_xlfn.LET(_xlpm.w,INDEX(J$19:J$30,$U90),_xlpm.tot,SUMPRODUCT(J$19:J$30,$T$19:$T$30),_xlpm.n,J$14,_xlpm.cum,SUMPRODUCT((ROW($C$19:$C$30)-18&lt;$U90)*J$19:J$30*$T$19:$T$30)+$V90*_xlpm.w,IF(OR(_xlpm.n="",_xlpm.n=0,_xlpm.tot=0,_xlpm.w=0),0,ROUND(_xlpm.cum/_xlpm.tot*_xlpm.n,0)-ROUND((_xlpm.cum-_xlpm.w)/_xlpm.tot*_xlpm.n,0)))</f>
        <v>0</v>
      </c>
      <c r="K90" s="691" cm="1">
        <f t="array" aca="1" ref="K90" ca="1">_xlfn.LET(_xlpm.w,INDEX(K$19:K$30,$U90),_xlpm.tot,SUMPRODUCT(K$19:K$30,$T$19:$T$30),_xlpm.n,K$14,_xlpm.cum,SUMPRODUCT((ROW($C$19:$C$30)-18&lt;$U90)*K$19:K$30*$T$19:$T$30)+$V90*_xlpm.w,IF(OR(_xlpm.n="",_xlpm.n=0,_xlpm.tot=0,_xlpm.w=0),0,ROUND(_xlpm.cum/_xlpm.tot*_xlpm.n,0)-ROUND((_xlpm.cum-_xlpm.w)/_xlpm.tot*_xlpm.n,0)))</f>
        <v>0</v>
      </c>
      <c r="L90" s="691" cm="1">
        <f t="array" aca="1" ref="L90" ca="1">_xlfn.LET(_xlpm.w,INDEX(L$19:L$30,$U90),_xlpm.tot,SUMPRODUCT(L$19:L$30,$T$19:$T$30),_xlpm.n,L$14,_xlpm.cum,SUMPRODUCT((ROW($C$19:$C$30)-18&lt;$U90)*L$19:L$30*$T$19:$T$30)+$V90*_xlpm.w,IF(OR(_xlpm.n="",_xlpm.n=0,_xlpm.tot=0,_xlpm.w=0),0,ROUND(_xlpm.cum/_xlpm.tot*_xlpm.n,0)-ROUND((_xlpm.cum-_xlpm.w)/_xlpm.tot*_xlpm.n,0)))</f>
        <v>0</v>
      </c>
      <c r="M90" s="691" cm="1">
        <f t="array" aca="1" ref="M90" ca="1">_xlfn.LET(_xlpm.w,INDEX(M$19:M$30,$U90),_xlpm.tot,SUMPRODUCT(M$19:M$30,$T$19:$T$30),_xlpm.n,M$14,_xlpm.cum,SUMPRODUCT((ROW($C$19:$C$30)-18&lt;$U90)*M$19:M$30*$T$19:$T$30)+$V90*_xlpm.w,IF(OR(_xlpm.n="",_xlpm.n=0,_xlpm.tot=0,_xlpm.w=0),0,ROUND(_xlpm.cum/_xlpm.tot*_xlpm.n,0)-ROUND((_xlpm.cum-_xlpm.w)/_xlpm.tot*_xlpm.n,0)))</f>
        <v>0</v>
      </c>
      <c r="N90" s="691" cm="1">
        <f t="array" aca="1" ref="N90" ca="1">_xlfn.LET(_xlpm.w,INDEX(N$19:N$30,$U90),_xlpm.tot,SUMPRODUCT(N$19:N$30,$T$19:$T$30),_xlpm.n,N$14,_xlpm.cum,SUMPRODUCT((ROW($C$19:$C$30)-18&lt;$U90)*N$19:N$30*$T$19:$T$30)+$V90*_xlpm.w,IF(OR(_xlpm.n="",_xlpm.n=0,_xlpm.tot=0,_xlpm.w=0),0,ROUND(_xlpm.cum/_xlpm.tot*_xlpm.n,0)-ROUND((_xlpm.cum-_xlpm.w)/_xlpm.tot*_xlpm.n,0)))</f>
        <v>0</v>
      </c>
      <c r="O90" s="691" cm="1">
        <f t="array" aca="1" ref="O90" ca="1">_xlfn.LET(_xlpm.w,INDEX(O$19:O$30,$U90),_xlpm.tot,SUMPRODUCT(O$19:O$30,$T$19:$T$30),_xlpm.n,O$14,_xlpm.cum,SUMPRODUCT((ROW($C$19:$C$30)-18&lt;$U90)*O$19:O$30*$T$19:$T$30)+$V90*_xlpm.w,IF(OR(_xlpm.n="",_xlpm.n=0,_xlpm.tot=0,_xlpm.w=0),0,ROUND(_xlpm.cum/_xlpm.tot*_xlpm.n,0)-ROUND((_xlpm.cum-_xlpm.w)/_xlpm.tot*_xlpm.n,0)))</f>
        <v>0</v>
      </c>
      <c r="P90" s="691" cm="1">
        <f t="array" aca="1" ref="P90" ca="1">_xlfn.LET(_xlpm.w,INDEX(P$19:P$30,$U90),_xlpm.tot,SUMPRODUCT(P$19:P$30,$T$19:$T$30),_xlpm.n,P$14,_xlpm.cum,SUMPRODUCT((ROW($C$19:$C$30)-18&lt;$U90)*P$19:P$30*$T$19:$T$30)+$V90*_xlpm.w,IF(OR(_xlpm.n="",_xlpm.n=0,_xlpm.tot=0,_xlpm.w=0),0,ROUND(_xlpm.cum/_xlpm.tot*_xlpm.n,0)-ROUND((_xlpm.cum-_xlpm.w)/_xlpm.tot*_xlpm.n,0)))</f>
        <v>0</v>
      </c>
      <c r="Q90" s="691" cm="1">
        <f t="array" aca="1" ref="Q90" ca="1">_xlfn.LET(_xlpm.w,INDEX(Q$19:Q$30,$U90),_xlpm.tot,SUMPRODUCT(Q$19:Q$30,$T$19:$T$30),_xlpm.n,Q$14,_xlpm.cum,SUMPRODUCT((ROW($C$19:$C$30)-18&lt;$U90)*Q$19:Q$30*$T$19:$T$30)+$V90*_xlpm.w,IF(OR(_xlpm.n="",_xlpm.n=0,_xlpm.tot=0,_xlpm.w=0),0,ROUND(_xlpm.cum/_xlpm.tot*_xlpm.n,0)-ROUND((_xlpm.cum-_xlpm.w)/_xlpm.tot*_xlpm.n,0)))</f>
        <v>0</v>
      </c>
      <c r="R90" s="691" cm="1">
        <f t="array" aca="1" ref="R90" ca="1">_xlfn.LET(_xlpm.w,INDEX(R$19:R$30,$U90),_xlpm.tot,SUMPRODUCT(R$19:R$30,$T$19:$T$30),_xlpm.n,R$14,_xlpm.cum,SUMPRODUCT((ROW($C$19:$C$30)-18&lt;$U90)*R$19:R$30*$T$19:$T$30)+$V90*_xlpm.w,IF(OR(_xlpm.n="",_xlpm.n=0,_xlpm.tot=0,_xlpm.w=0),0,ROUND(_xlpm.cum/_xlpm.tot*_xlpm.n,0)-ROUND((_xlpm.cum-_xlpm.w)/_xlpm.tot*_xlpm.n,0)))</f>
        <v>0</v>
      </c>
      <c r="S90" s="692">
        <f t="shared" ca="1" si="16"/>
        <v>1</v>
      </c>
      <c r="T90" s="693">
        <f t="shared" ca="1" si="17"/>
        <v>46261</v>
      </c>
      <c r="U90" s="694">
        <f t="shared" ca="1" si="18"/>
        <v>8</v>
      </c>
      <c r="V90" s="694">
        <f ca="1">COUNTIFS($U$56:$U90,$U90)</f>
        <v>5</v>
      </c>
      <c r="W90" s="695">
        <f t="shared" ca="1" si="19"/>
        <v>4.8</v>
      </c>
      <c r="X90" s="696" cm="1">
        <f t="array" aca="1" ref="X90" ca="1">INDEX($U$19:$U$30,$U90)</f>
        <v>20</v>
      </c>
      <c r="Y90" s="697">
        <f t="shared" ca="1" si="20"/>
        <v>0.24</v>
      </c>
      <c r="Z90" s="698" t="str">
        <f t="shared" ca="1" si="21"/>
        <v>OK</v>
      </c>
    </row>
    <row r="91" spans="1:26" ht="13.95" customHeight="1">
      <c r="A91" s="689">
        <f t="shared" si="22"/>
        <v>36</v>
      </c>
      <c r="B91" s="690" t="str" cm="1">
        <f t="array" aca="1" ref="B91" ca="1">INDEX($B$19:$B$30,$U91)</f>
        <v>SEPTEMBRE</v>
      </c>
      <c r="C91" s="691" cm="1">
        <f t="array" aca="1" ref="C91" ca="1">_xlfn.LET(_xlpm.w,INDEX(C$19:C$30,$U91),_xlpm.tot,SUMPRODUCT(C$19:C$30,$T$19:$T$30),_xlpm.n,C$14,_xlpm.cum,SUMPRODUCT((ROW($C$19:$C$30)-18&lt;$U91)*C$19:C$30*$T$19:$T$30)+$V91*_xlpm.w,IF(OR(_xlpm.n="",_xlpm.n=0,_xlpm.tot=0,_xlpm.w=0),0,ROUND(_xlpm.cum/_xlpm.tot*_xlpm.n,0)-ROUND((_xlpm.cum-_xlpm.w)/_xlpm.tot*_xlpm.n,0)))</f>
        <v>1</v>
      </c>
      <c r="D91" s="691" cm="1">
        <f t="array" aca="1" ref="D91" ca="1">_xlfn.LET(_xlpm.w,INDEX(D$19:D$30,$U91),_xlpm.tot,SUMPRODUCT(D$19:D$30,$T$19:$T$30),_xlpm.n,D$14,_xlpm.cum,SUMPRODUCT((ROW($C$19:$C$30)-18&lt;$U91)*D$19:D$30*$T$19:$T$30)+$V91*_xlpm.w,IF(OR(_xlpm.n="",_xlpm.n=0,_xlpm.tot=0,_xlpm.w=0),0,ROUND(_xlpm.cum/_xlpm.tot*_xlpm.n,0)-ROUND((_xlpm.cum-_xlpm.w)/_xlpm.tot*_xlpm.n,0)))</f>
        <v>0</v>
      </c>
      <c r="E91" s="691" cm="1">
        <f t="array" aca="1" ref="E91" ca="1">_xlfn.LET(_xlpm.w,INDEX(E$19:E$30,$U91),_xlpm.tot,SUMPRODUCT(E$19:E$30,$T$19:$T$30),_xlpm.n,E$14,_xlpm.cum,SUMPRODUCT((ROW($C$19:$C$30)-18&lt;$U91)*E$19:E$30*$T$19:$T$30)+$V91*_xlpm.w,IF(OR(_xlpm.n="",_xlpm.n=0,_xlpm.tot=0,_xlpm.w=0),0,ROUND(_xlpm.cum/_xlpm.tot*_xlpm.n,0)-ROUND((_xlpm.cum-_xlpm.w)/_xlpm.tot*_xlpm.n,0)))</f>
        <v>2</v>
      </c>
      <c r="F91" s="691" cm="1">
        <f t="array" aca="1" ref="F91" ca="1">_xlfn.LET(_xlpm.w,INDEX(F$19:F$30,$U91),_xlpm.tot,SUMPRODUCT(F$19:F$30,$T$19:$T$30),_xlpm.n,F$14,_xlpm.cum,SUMPRODUCT((ROW($C$19:$C$30)-18&lt;$U91)*F$19:F$30*$T$19:$T$30)+$V91*_xlpm.w,IF(OR(_xlpm.n="",_xlpm.n=0,_xlpm.tot=0,_xlpm.w=0),0,ROUND(_xlpm.cum/_xlpm.tot*_xlpm.n,0)-ROUND((_xlpm.cum-_xlpm.w)/_xlpm.tot*_xlpm.n,0)))</f>
        <v>1</v>
      </c>
      <c r="G91" s="691" cm="1">
        <f t="array" aca="1" ref="G91" ca="1">_xlfn.LET(_xlpm.w,INDEX(G$19:G$30,$U91),_xlpm.tot,SUMPRODUCT(G$19:G$30,$T$19:$T$30),_xlpm.n,G$14,_xlpm.cum,SUMPRODUCT((ROW($C$19:$C$30)-18&lt;$U91)*G$19:G$30*$T$19:$T$30)+$V91*_xlpm.w,IF(OR(_xlpm.n="",_xlpm.n=0,_xlpm.tot=0,_xlpm.w=0),0,ROUND(_xlpm.cum/_xlpm.tot*_xlpm.n,0)-ROUND((_xlpm.cum-_xlpm.w)/_xlpm.tot*_xlpm.n,0)))</f>
        <v>0</v>
      </c>
      <c r="H91" s="691" cm="1">
        <f t="array" aca="1" ref="H91" ca="1">_xlfn.LET(_xlpm.w,INDEX(H$19:H$30,$U91),_xlpm.tot,SUMPRODUCT(H$19:H$30,$T$19:$T$30),_xlpm.n,H$14,_xlpm.cum,SUMPRODUCT((ROW($C$19:$C$30)-18&lt;$U91)*H$19:H$30*$T$19:$T$30)+$V91*_xlpm.w,IF(OR(_xlpm.n="",_xlpm.n=0,_xlpm.tot=0,_xlpm.w=0),0,ROUND(_xlpm.cum/_xlpm.tot*_xlpm.n,0)-ROUND((_xlpm.cum-_xlpm.w)/_xlpm.tot*_xlpm.n,0)))</f>
        <v>0</v>
      </c>
      <c r="I91" s="691" cm="1">
        <f t="array" aca="1" ref="I91" ca="1">_xlfn.LET(_xlpm.w,INDEX(I$19:I$30,$U91),_xlpm.tot,SUMPRODUCT(I$19:I$30,$T$19:$T$30),_xlpm.n,I$14,_xlpm.cum,SUMPRODUCT((ROW($C$19:$C$30)-18&lt;$U91)*I$19:I$30*$T$19:$T$30)+$V91*_xlpm.w,IF(OR(_xlpm.n="",_xlpm.n=0,_xlpm.tot=0,_xlpm.w=0),0,ROUND(_xlpm.cum/_xlpm.tot*_xlpm.n,0)-ROUND((_xlpm.cum-_xlpm.w)/_xlpm.tot*_xlpm.n,0)))</f>
        <v>0</v>
      </c>
      <c r="J91" s="691" cm="1">
        <f t="array" aca="1" ref="J91" ca="1">_xlfn.LET(_xlpm.w,INDEX(J$19:J$30,$U91),_xlpm.tot,SUMPRODUCT(J$19:J$30,$T$19:$T$30),_xlpm.n,J$14,_xlpm.cum,SUMPRODUCT((ROW($C$19:$C$30)-18&lt;$U91)*J$19:J$30*$T$19:$T$30)+$V91*_xlpm.w,IF(OR(_xlpm.n="",_xlpm.n=0,_xlpm.tot=0,_xlpm.w=0),0,ROUND(_xlpm.cum/_xlpm.tot*_xlpm.n,0)-ROUND((_xlpm.cum-_xlpm.w)/_xlpm.tot*_xlpm.n,0)))</f>
        <v>0</v>
      </c>
      <c r="K91" s="691" cm="1">
        <f t="array" aca="1" ref="K91" ca="1">_xlfn.LET(_xlpm.w,INDEX(K$19:K$30,$U91),_xlpm.tot,SUMPRODUCT(K$19:K$30,$T$19:$T$30),_xlpm.n,K$14,_xlpm.cum,SUMPRODUCT((ROW($C$19:$C$30)-18&lt;$U91)*K$19:K$30*$T$19:$T$30)+$V91*_xlpm.w,IF(OR(_xlpm.n="",_xlpm.n=0,_xlpm.tot=0,_xlpm.w=0),0,ROUND(_xlpm.cum/_xlpm.tot*_xlpm.n,0)-ROUND((_xlpm.cum-_xlpm.w)/_xlpm.tot*_xlpm.n,0)))</f>
        <v>0</v>
      </c>
      <c r="L91" s="691" cm="1">
        <f t="array" aca="1" ref="L91" ca="1">_xlfn.LET(_xlpm.w,INDEX(L$19:L$30,$U91),_xlpm.tot,SUMPRODUCT(L$19:L$30,$T$19:$T$30),_xlpm.n,L$14,_xlpm.cum,SUMPRODUCT((ROW($C$19:$C$30)-18&lt;$U91)*L$19:L$30*$T$19:$T$30)+$V91*_xlpm.w,IF(OR(_xlpm.n="",_xlpm.n=0,_xlpm.tot=0,_xlpm.w=0),0,ROUND(_xlpm.cum/_xlpm.tot*_xlpm.n,0)-ROUND((_xlpm.cum-_xlpm.w)/_xlpm.tot*_xlpm.n,0)))</f>
        <v>0</v>
      </c>
      <c r="M91" s="691" cm="1">
        <f t="array" aca="1" ref="M91" ca="1">_xlfn.LET(_xlpm.w,INDEX(M$19:M$30,$U91),_xlpm.tot,SUMPRODUCT(M$19:M$30,$T$19:$T$30),_xlpm.n,M$14,_xlpm.cum,SUMPRODUCT((ROW($C$19:$C$30)-18&lt;$U91)*M$19:M$30*$T$19:$T$30)+$V91*_xlpm.w,IF(OR(_xlpm.n="",_xlpm.n=0,_xlpm.tot=0,_xlpm.w=0),0,ROUND(_xlpm.cum/_xlpm.tot*_xlpm.n,0)-ROUND((_xlpm.cum-_xlpm.w)/_xlpm.tot*_xlpm.n,0)))</f>
        <v>0</v>
      </c>
      <c r="N91" s="691" cm="1">
        <f t="array" aca="1" ref="N91" ca="1">_xlfn.LET(_xlpm.w,INDEX(N$19:N$30,$U91),_xlpm.tot,SUMPRODUCT(N$19:N$30,$T$19:$T$30),_xlpm.n,N$14,_xlpm.cum,SUMPRODUCT((ROW($C$19:$C$30)-18&lt;$U91)*N$19:N$30*$T$19:$T$30)+$V91*_xlpm.w,IF(OR(_xlpm.n="",_xlpm.n=0,_xlpm.tot=0,_xlpm.w=0),0,ROUND(_xlpm.cum/_xlpm.tot*_xlpm.n,0)-ROUND((_xlpm.cum-_xlpm.w)/_xlpm.tot*_xlpm.n,0)))</f>
        <v>0</v>
      </c>
      <c r="O91" s="691" cm="1">
        <f t="array" aca="1" ref="O91" ca="1">_xlfn.LET(_xlpm.w,INDEX(O$19:O$30,$U91),_xlpm.tot,SUMPRODUCT(O$19:O$30,$T$19:$T$30),_xlpm.n,O$14,_xlpm.cum,SUMPRODUCT((ROW($C$19:$C$30)-18&lt;$U91)*O$19:O$30*$T$19:$T$30)+$V91*_xlpm.w,IF(OR(_xlpm.n="",_xlpm.n=0,_xlpm.tot=0,_xlpm.w=0),0,ROUND(_xlpm.cum/_xlpm.tot*_xlpm.n,0)-ROUND((_xlpm.cum-_xlpm.w)/_xlpm.tot*_xlpm.n,0)))</f>
        <v>0</v>
      </c>
      <c r="P91" s="691" cm="1">
        <f t="array" aca="1" ref="P91" ca="1">_xlfn.LET(_xlpm.w,INDEX(P$19:P$30,$U91),_xlpm.tot,SUMPRODUCT(P$19:P$30,$T$19:$T$30),_xlpm.n,P$14,_xlpm.cum,SUMPRODUCT((ROW($C$19:$C$30)-18&lt;$U91)*P$19:P$30*$T$19:$T$30)+$V91*_xlpm.w,IF(OR(_xlpm.n="",_xlpm.n=0,_xlpm.tot=0,_xlpm.w=0),0,ROUND(_xlpm.cum/_xlpm.tot*_xlpm.n,0)-ROUND((_xlpm.cum-_xlpm.w)/_xlpm.tot*_xlpm.n,0)))</f>
        <v>0</v>
      </c>
      <c r="Q91" s="691" cm="1">
        <f t="array" aca="1" ref="Q91" ca="1">_xlfn.LET(_xlpm.w,INDEX(Q$19:Q$30,$U91),_xlpm.tot,SUMPRODUCT(Q$19:Q$30,$T$19:$T$30),_xlpm.n,Q$14,_xlpm.cum,SUMPRODUCT((ROW($C$19:$C$30)-18&lt;$U91)*Q$19:Q$30*$T$19:$T$30)+$V91*_xlpm.w,IF(OR(_xlpm.n="",_xlpm.n=0,_xlpm.tot=0,_xlpm.w=0),0,ROUND(_xlpm.cum/_xlpm.tot*_xlpm.n,0)-ROUND((_xlpm.cum-_xlpm.w)/_xlpm.tot*_xlpm.n,0)))</f>
        <v>0</v>
      </c>
      <c r="R91" s="691" cm="1">
        <f t="array" aca="1" ref="R91" ca="1">_xlfn.LET(_xlpm.w,INDEX(R$19:R$30,$U91),_xlpm.tot,SUMPRODUCT(R$19:R$30,$T$19:$T$30),_xlpm.n,R$14,_xlpm.cum,SUMPRODUCT((ROW($C$19:$C$30)-18&lt;$U91)*R$19:R$30*$T$19:$T$30)+$V91*_xlpm.w,IF(OR(_xlpm.n="",_xlpm.n=0,_xlpm.tot=0,_xlpm.w=0),0,ROUND(_xlpm.cum/_xlpm.tot*_xlpm.n,0)-ROUND((_xlpm.cum-_xlpm.w)/_xlpm.tot*_xlpm.n,0)))</f>
        <v>0</v>
      </c>
      <c r="S91" s="692">
        <f t="shared" ca="1" si="16"/>
        <v>4</v>
      </c>
      <c r="T91" s="693">
        <f t="shared" ca="1" si="17"/>
        <v>46268</v>
      </c>
      <c r="U91" s="694">
        <f t="shared" ca="1" si="18"/>
        <v>9</v>
      </c>
      <c r="V91" s="694">
        <f ca="1">COUNTIFS($U$56:$U91,$U91)</f>
        <v>1</v>
      </c>
      <c r="W91" s="695">
        <f t="shared" ca="1" si="19"/>
        <v>19.2</v>
      </c>
      <c r="X91" s="696" cm="1">
        <f t="array" aca="1" ref="X91" ca="1">INDEX($U$19:$U$30,$U91)</f>
        <v>20</v>
      </c>
      <c r="Y91" s="697">
        <f t="shared" ca="1" si="20"/>
        <v>0.96</v>
      </c>
      <c r="Z91" s="698" t="str">
        <f t="shared" ca="1" si="21"/>
        <v>Tendu</v>
      </c>
    </row>
    <row r="92" spans="1:26" ht="13.95" customHeight="1">
      <c r="A92" s="689">
        <f t="shared" si="22"/>
        <v>37</v>
      </c>
      <c r="B92" s="690" t="str" cm="1">
        <f t="array" aca="1" ref="B92" ca="1">INDEX($B$19:$B$30,$U92)</f>
        <v>SEPTEMBRE</v>
      </c>
      <c r="C92" s="691" cm="1">
        <f t="array" aca="1" ref="C92" ca="1">_xlfn.LET(_xlpm.w,INDEX(C$19:C$30,$U92),_xlpm.tot,SUMPRODUCT(C$19:C$30,$T$19:$T$30),_xlpm.n,C$14,_xlpm.cum,SUMPRODUCT((ROW($C$19:$C$30)-18&lt;$U92)*C$19:C$30*$T$19:$T$30)+$V92*_xlpm.w,IF(OR(_xlpm.n="",_xlpm.n=0,_xlpm.tot=0,_xlpm.w=0),0,ROUND(_xlpm.cum/_xlpm.tot*_xlpm.n,0)-ROUND((_xlpm.cum-_xlpm.w)/_xlpm.tot*_xlpm.n,0)))</f>
        <v>1</v>
      </c>
      <c r="D92" s="691" cm="1">
        <f t="array" aca="1" ref="D92" ca="1">_xlfn.LET(_xlpm.w,INDEX(D$19:D$30,$U92),_xlpm.tot,SUMPRODUCT(D$19:D$30,$T$19:$T$30),_xlpm.n,D$14,_xlpm.cum,SUMPRODUCT((ROW($C$19:$C$30)-18&lt;$U92)*D$19:D$30*$T$19:$T$30)+$V92*_xlpm.w,IF(OR(_xlpm.n="",_xlpm.n=0,_xlpm.tot=0,_xlpm.w=0),0,ROUND(_xlpm.cum/_xlpm.tot*_xlpm.n,0)-ROUND((_xlpm.cum-_xlpm.w)/_xlpm.tot*_xlpm.n,0)))</f>
        <v>0</v>
      </c>
      <c r="E92" s="691" cm="1">
        <f t="array" aca="1" ref="E92" ca="1">_xlfn.LET(_xlpm.w,INDEX(E$19:E$30,$U92),_xlpm.tot,SUMPRODUCT(E$19:E$30,$T$19:$T$30),_xlpm.n,E$14,_xlpm.cum,SUMPRODUCT((ROW($C$19:$C$30)-18&lt;$U92)*E$19:E$30*$T$19:$T$30)+$V92*_xlpm.w,IF(OR(_xlpm.n="",_xlpm.n=0,_xlpm.tot=0,_xlpm.w=0),0,ROUND(_xlpm.cum/_xlpm.tot*_xlpm.n,0)-ROUND((_xlpm.cum-_xlpm.w)/_xlpm.tot*_xlpm.n,0)))</f>
        <v>3</v>
      </c>
      <c r="F92" s="691" cm="1">
        <f t="array" aca="1" ref="F92" ca="1">_xlfn.LET(_xlpm.w,INDEX(F$19:F$30,$U92),_xlpm.tot,SUMPRODUCT(F$19:F$30,$T$19:$T$30),_xlpm.n,F$14,_xlpm.cum,SUMPRODUCT((ROW($C$19:$C$30)-18&lt;$U92)*F$19:F$30*$T$19:$T$30)+$V92*_xlpm.w,IF(OR(_xlpm.n="",_xlpm.n=0,_xlpm.tot=0,_xlpm.w=0),0,ROUND(_xlpm.cum/_xlpm.tot*_xlpm.n,0)-ROUND((_xlpm.cum-_xlpm.w)/_xlpm.tot*_xlpm.n,0)))</f>
        <v>1</v>
      </c>
      <c r="G92" s="691" cm="1">
        <f t="array" aca="1" ref="G92" ca="1">_xlfn.LET(_xlpm.w,INDEX(G$19:G$30,$U92),_xlpm.tot,SUMPRODUCT(G$19:G$30,$T$19:$T$30),_xlpm.n,G$14,_xlpm.cum,SUMPRODUCT((ROW($C$19:$C$30)-18&lt;$U92)*G$19:G$30*$T$19:$T$30)+$V92*_xlpm.w,IF(OR(_xlpm.n="",_xlpm.n=0,_xlpm.tot=0,_xlpm.w=0),0,ROUND(_xlpm.cum/_xlpm.tot*_xlpm.n,0)-ROUND((_xlpm.cum-_xlpm.w)/_xlpm.tot*_xlpm.n,0)))</f>
        <v>0</v>
      </c>
      <c r="H92" s="691" cm="1">
        <f t="array" aca="1" ref="H92" ca="1">_xlfn.LET(_xlpm.w,INDEX(H$19:H$30,$U92),_xlpm.tot,SUMPRODUCT(H$19:H$30,$T$19:$T$30),_xlpm.n,H$14,_xlpm.cum,SUMPRODUCT((ROW($C$19:$C$30)-18&lt;$U92)*H$19:H$30*$T$19:$T$30)+$V92*_xlpm.w,IF(OR(_xlpm.n="",_xlpm.n=0,_xlpm.tot=0,_xlpm.w=0),0,ROUND(_xlpm.cum/_xlpm.tot*_xlpm.n,0)-ROUND((_xlpm.cum-_xlpm.w)/_xlpm.tot*_xlpm.n,0)))</f>
        <v>0</v>
      </c>
      <c r="I92" s="691" cm="1">
        <f t="array" aca="1" ref="I92" ca="1">_xlfn.LET(_xlpm.w,INDEX(I$19:I$30,$U92),_xlpm.tot,SUMPRODUCT(I$19:I$30,$T$19:$T$30),_xlpm.n,I$14,_xlpm.cum,SUMPRODUCT((ROW($C$19:$C$30)-18&lt;$U92)*I$19:I$30*$T$19:$T$30)+$V92*_xlpm.w,IF(OR(_xlpm.n="",_xlpm.n=0,_xlpm.tot=0,_xlpm.w=0),0,ROUND(_xlpm.cum/_xlpm.tot*_xlpm.n,0)-ROUND((_xlpm.cum-_xlpm.w)/_xlpm.tot*_xlpm.n,0)))</f>
        <v>0</v>
      </c>
      <c r="J92" s="691" cm="1">
        <f t="array" aca="1" ref="J92" ca="1">_xlfn.LET(_xlpm.w,INDEX(J$19:J$30,$U92),_xlpm.tot,SUMPRODUCT(J$19:J$30,$T$19:$T$30),_xlpm.n,J$14,_xlpm.cum,SUMPRODUCT((ROW($C$19:$C$30)-18&lt;$U92)*J$19:J$30*$T$19:$T$30)+$V92*_xlpm.w,IF(OR(_xlpm.n="",_xlpm.n=0,_xlpm.tot=0,_xlpm.w=0),0,ROUND(_xlpm.cum/_xlpm.tot*_xlpm.n,0)-ROUND((_xlpm.cum-_xlpm.w)/_xlpm.tot*_xlpm.n,0)))</f>
        <v>0</v>
      </c>
      <c r="K92" s="691" cm="1">
        <f t="array" aca="1" ref="K92" ca="1">_xlfn.LET(_xlpm.w,INDEX(K$19:K$30,$U92),_xlpm.tot,SUMPRODUCT(K$19:K$30,$T$19:$T$30),_xlpm.n,K$14,_xlpm.cum,SUMPRODUCT((ROW($C$19:$C$30)-18&lt;$U92)*K$19:K$30*$T$19:$T$30)+$V92*_xlpm.w,IF(OR(_xlpm.n="",_xlpm.n=0,_xlpm.tot=0,_xlpm.w=0),0,ROUND(_xlpm.cum/_xlpm.tot*_xlpm.n,0)-ROUND((_xlpm.cum-_xlpm.w)/_xlpm.tot*_xlpm.n,0)))</f>
        <v>0</v>
      </c>
      <c r="L92" s="691" cm="1">
        <f t="array" aca="1" ref="L92" ca="1">_xlfn.LET(_xlpm.w,INDEX(L$19:L$30,$U92),_xlpm.tot,SUMPRODUCT(L$19:L$30,$T$19:$T$30),_xlpm.n,L$14,_xlpm.cum,SUMPRODUCT((ROW($C$19:$C$30)-18&lt;$U92)*L$19:L$30*$T$19:$T$30)+$V92*_xlpm.w,IF(OR(_xlpm.n="",_xlpm.n=0,_xlpm.tot=0,_xlpm.w=0),0,ROUND(_xlpm.cum/_xlpm.tot*_xlpm.n,0)-ROUND((_xlpm.cum-_xlpm.w)/_xlpm.tot*_xlpm.n,0)))</f>
        <v>0</v>
      </c>
      <c r="M92" s="691" cm="1">
        <f t="array" aca="1" ref="M92" ca="1">_xlfn.LET(_xlpm.w,INDEX(M$19:M$30,$U92),_xlpm.tot,SUMPRODUCT(M$19:M$30,$T$19:$T$30),_xlpm.n,M$14,_xlpm.cum,SUMPRODUCT((ROW($C$19:$C$30)-18&lt;$U92)*M$19:M$30*$T$19:$T$30)+$V92*_xlpm.w,IF(OR(_xlpm.n="",_xlpm.n=0,_xlpm.tot=0,_xlpm.w=0),0,ROUND(_xlpm.cum/_xlpm.tot*_xlpm.n,0)-ROUND((_xlpm.cum-_xlpm.w)/_xlpm.tot*_xlpm.n,0)))</f>
        <v>0</v>
      </c>
      <c r="N92" s="691" cm="1">
        <f t="array" aca="1" ref="N92" ca="1">_xlfn.LET(_xlpm.w,INDEX(N$19:N$30,$U92),_xlpm.tot,SUMPRODUCT(N$19:N$30,$T$19:$T$30),_xlpm.n,N$14,_xlpm.cum,SUMPRODUCT((ROW($C$19:$C$30)-18&lt;$U92)*N$19:N$30*$T$19:$T$30)+$V92*_xlpm.w,IF(OR(_xlpm.n="",_xlpm.n=0,_xlpm.tot=0,_xlpm.w=0),0,ROUND(_xlpm.cum/_xlpm.tot*_xlpm.n,0)-ROUND((_xlpm.cum-_xlpm.w)/_xlpm.tot*_xlpm.n,0)))</f>
        <v>0</v>
      </c>
      <c r="O92" s="691" cm="1">
        <f t="array" aca="1" ref="O92" ca="1">_xlfn.LET(_xlpm.w,INDEX(O$19:O$30,$U92),_xlpm.tot,SUMPRODUCT(O$19:O$30,$T$19:$T$30),_xlpm.n,O$14,_xlpm.cum,SUMPRODUCT((ROW($C$19:$C$30)-18&lt;$U92)*O$19:O$30*$T$19:$T$30)+$V92*_xlpm.w,IF(OR(_xlpm.n="",_xlpm.n=0,_xlpm.tot=0,_xlpm.w=0),0,ROUND(_xlpm.cum/_xlpm.tot*_xlpm.n,0)-ROUND((_xlpm.cum-_xlpm.w)/_xlpm.tot*_xlpm.n,0)))</f>
        <v>0</v>
      </c>
      <c r="P92" s="691" cm="1">
        <f t="array" aca="1" ref="P92" ca="1">_xlfn.LET(_xlpm.w,INDEX(P$19:P$30,$U92),_xlpm.tot,SUMPRODUCT(P$19:P$30,$T$19:$T$30),_xlpm.n,P$14,_xlpm.cum,SUMPRODUCT((ROW($C$19:$C$30)-18&lt;$U92)*P$19:P$30*$T$19:$T$30)+$V92*_xlpm.w,IF(OR(_xlpm.n="",_xlpm.n=0,_xlpm.tot=0,_xlpm.w=0),0,ROUND(_xlpm.cum/_xlpm.tot*_xlpm.n,0)-ROUND((_xlpm.cum-_xlpm.w)/_xlpm.tot*_xlpm.n,0)))</f>
        <v>0</v>
      </c>
      <c r="Q92" s="691" cm="1">
        <f t="array" aca="1" ref="Q92" ca="1">_xlfn.LET(_xlpm.w,INDEX(Q$19:Q$30,$U92),_xlpm.tot,SUMPRODUCT(Q$19:Q$30,$T$19:$T$30),_xlpm.n,Q$14,_xlpm.cum,SUMPRODUCT((ROW($C$19:$C$30)-18&lt;$U92)*Q$19:Q$30*$T$19:$T$30)+$V92*_xlpm.w,IF(OR(_xlpm.n="",_xlpm.n=0,_xlpm.tot=0,_xlpm.w=0),0,ROUND(_xlpm.cum/_xlpm.tot*_xlpm.n,0)-ROUND((_xlpm.cum-_xlpm.w)/_xlpm.tot*_xlpm.n,0)))</f>
        <v>0</v>
      </c>
      <c r="R92" s="691" cm="1">
        <f t="array" aca="1" ref="R92" ca="1">_xlfn.LET(_xlpm.w,INDEX(R$19:R$30,$U92),_xlpm.tot,SUMPRODUCT(R$19:R$30,$T$19:$T$30),_xlpm.n,R$14,_xlpm.cum,SUMPRODUCT((ROW($C$19:$C$30)-18&lt;$U92)*R$19:R$30*$T$19:$T$30)+$V92*_xlpm.w,IF(OR(_xlpm.n="",_xlpm.n=0,_xlpm.tot=0,_xlpm.w=0),0,ROUND(_xlpm.cum/_xlpm.tot*_xlpm.n,0)-ROUND((_xlpm.cum-_xlpm.w)/_xlpm.tot*_xlpm.n,0)))</f>
        <v>0</v>
      </c>
      <c r="S92" s="692">
        <f t="shared" ca="1" si="16"/>
        <v>5</v>
      </c>
      <c r="T92" s="693">
        <f t="shared" ca="1" si="17"/>
        <v>46275</v>
      </c>
      <c r="U92" s="694">
        <f t="shared" ca="1" si="18"/>
        <v>9</v>
      </c>
      <c r="V92" s="694">
        <f ca="1">COUNTIFS($U$56:$U92,$U92)</f>
        <v>2</v>
      </c>
      <c r="W92" s="695">
        <f t="shared" ca="1" si="19"/>
        <v>24</v>
      </c>
      <c r="X92" s="696" cm="1">
        <f t="array" aca="1" ref="X92" ca="1">INDEX($U$19:$U$30,$U92)</f>
        <v>20</v>
      </c>
      <c r="Y92" s="697">
        <f t="shared" ca="1" si="20"/>
        <v>1.2</v>
      </c>
      <c r="Z92" s="698" t="str">
        <f t="shared" ca="1" si="21"/>
        <v>GOULOT</v>
      </c>
    </row>
    <row r="93" spans="1:26" ht="13.95" customHeight="1">
      <c r="A93" s="689">
        <f t="shared" si="22"/>
        <v>38</v>
      </c>
      <c r="B93" s="690" t="str" cm="1">
        <f t="array" aca="1" ref="B93" ca="1">INDEX($B$19:$B$30,$U93)</f>
        <v>SEPTEMBRE</v>
      </c>
      <c r="C93" s="691" cm="1">
        <f t="array" aca="1" ref="C93" ca="1">_xlfn.LET(_xlpm.w,INDEX(C$19:C$30,$U93),_xlpm.tot,SUMPRODUCT(C$19:C$30,$T$19:$T$30),_xlpm.n,C$14,_xlpm.cum,SUMPRODUCT((ROW($C$19:$C$30)-18&lt;$U93)*C$19:C$30*$T$19:$T$30)+$V93*_xlpm.w,IF(OR(_xlpm.n="",_xlpm.n=0,_xlpm.tot=0,_xlpm.w=0),0,ROUND(_xlpm.cum/_xlpm.tot*_xlpm.n,0)-ROUND((_xlpm.cum-_xlpm.w)/_xlpm.tot*_xlpm.n,0)))</f>
        <v>0</v>
      </c>
      <c r="D93" s="691" cm="1">
        <f t="array" aca="1" ref="D93" ca="1">_xlfn.LET(_xlpm.w,INDEX(D$19:D$30,$U93),_xlpm.tot,SUMPRODUCT(D$19:D$30,$T$19:$T$30),_xlpm.n,D$14,_xlpm.cum,SUMPRODUCT((ROW($C$19:$C$30)-18&lt;$U93)*D$19:D$30*$T$19:$T$30)+$V93*_xlpm.w,IF(OR(_xlpm.n="",_xlpm.n=0,_xlpm.tot=0,_xlpm.w=0),0,ROUND(_xlpm.cum/_xlpm.tot*_xlpm.n,0)-ROUND((_xlpm.cum-_xlpm.w)/_xlpm.tot*_xlpm.n,0)))</f>
        <v>0</v>
      </c>
      <c r="E93" s="691" cm="1">
        <f t="array" aca="1" ref="E93" ca="1">_xlfn.LET(_xlpm.w,INDEX(E$19:E$30,$U93),_xlpm.tot,SUMPRODUCT(E$19:E$30,$T$19:$T$30),_xlpm.n,E$14,_xlpm.cum,SUMPRODUCT((ROW($C$19:$C$30)-18&lt;$U93)*E$19:E$30*$T$19:$T$30)+$V93*_xlpm.w,IF(OR(_xlpm.n="",_xlpm.n=0,_xlpm.tot=0,_xlpm.w=0),0,ROUND(_xlpm.cum/_xlpm.tot*_xlpm.n,0)-ROUND((_xlpm.cum-_xlpm.w)/_xlpm.tot*_xlpm.n,0)))</f>
        <v>2</v>
      </c>
      <c r="F93" s="691" cm="1">
        <f t="array" aca="1" ref="F93" ca="1">_xlfn.LET(_xlpm.w,INDEX(F$19:F$30,$U93),_xlpm.tot,SUMPRODUCT(F$19:F$30,$T$19:$T$30),_xlpm.n,F$14,_xlpm.cum,SUMPRODUCT((ROW($C$19:$C$30)-18&lt;$U93)*F$19:F$30*$T$19:$T$30)+$V93*_xlpm.w,IF(OR(_xlpm.n="",_xlpm.n=0,_xlpm.tot=0,_xlpm.w=0),0,ROUND(_xlpm.cum/_xlpm.tot*_xlpm.n,0)-ROUND((_xlpm.cum-_xlpm.w)/_xlpm.tot*_xlpm.n,0)))</f>
        <v>1</v>
      </c>
      <c r="G93" s="691" cm="1">
        <f t="array" aca="1" ref="G93" ca="1">_xlfn.LET(_xlpm.w,INDEX(G$19:G$30,$U93),_xlpm.tot,SUMPRODUCT(G$19:G$30,$T$19:$T$30),_xlpm.n,G$14,_xlpm.cum,SUMPRODUCT((ROW($C$19:$C$30)-18&lt;$U93)*G$19:G$30*$T$19:$T$30)+$V93*_xlpm.w,IF(OR(_xlpm.n="",_xlpm.n=0,_xlpm.tot=0,_xlpm.w=0),0,ROUND(_xlpm.cum/_xlpm.tot*_xlpm.n,0)-ROUND((_xlpm.cum-_xlpm.w)/_xlpm.tot*_xlpm.n,0)))</f>
        <v>0</v>
      </c>
      <c r="H93" s="691" cm="1">
        <f t="array" aca="1" ref="H93" ca="1">_xlfn.LET(_xlpm.w,INDEX(H$19:H$30,$U93),_xlpm.tot,SUMPRODUCT(H$19:H$30,$T$19:$T$30),_xlpm.n,H$14,_xlpm.cum,SUMPRODUCT((ROW($C$19:$C$30)-18&lt;$U93)*H$19:H$30*$T$19:$T$30)+$V93*_xlpm.w,IF(OR(_xlpm.n="",_xlpm.n=0,_xlpm.tot=0,_xlpm.w=0),0,ROUND(_xlpm.cum/_xlpm.tot*_xlpm.n,0)-ROUND((_xlpm.cum-_xlpm.w)/_xlpm.tot*_xlpm.n,0)))</f>
        <v>0</v>
      </c>
      <c r="I93" s="691" cm="1">
        <f t="array" aca="1" ref="I93" ca="1">_xlfn.LET(_xlpm.w,INDEX(I$19:I$30,$U93),_xlpm.tot,SUMPRODUCT(I$19:I$30,$T$19:$T$30),_xlpm.n,I$14,_xlpm.cum,SUMPRODUCT((ROW($C$19:$C$30)-18&lt;$U93)*I$19:I$30*$T$19:$T$30)+$V93*_xlpm.w,IF(OR(_xlpm.n="",_xlpm.n=0,_xlpm.tot=0,_xlpm.w=0),0,ROUND(_xlpm.cum/_xlpm.tot*_xlpm.n,0)-ROUND((_xlpm.cum-_xlpm.w)/_xlpm.tot*_xlpm.n,0)))</f>
        <v>0</v>
      </c>
      <c r="J93" s="691" cm="1">
        <f t="array" aca="1" ref="J93" ca="1">_xlfn.LET(_xlpm.w,INDEX(J$19:J$30,$U93),_xlpm.tot,SUMPRODUCT(J$19:J$30,$T$19:$T$30),_xlpm.n,J$14,_xlpm.cum,SUMPRODUCT((ROW($C$19:$C$30)-18&lt;$U93)*J$19:J$30*$T$19:$T$30)+$V93*_xlpm.w,IF(OR(_xlpm.n="",_xlpm.n=0,_xlpm.tot=0,_xlpm.w=0),0,ROUND(_xlpm.cum/_xlpm.tot*_xlpm.n,0)-ROUND((_xlpm.cum-_xlpm.w)/_xlpm.tot*_xlpm.n,0)))</f>
        <v>0</v>
      </c>
      <c r="K93" s="691" cm="1">
        <f t="array" aca="1" ref="K93" ca="1">_xlfn.LET(_xlpm.w,INDEX(K$19:K$30,$U93),_xlpm.tot,SUMPRODUCT(K$19:K$30,$T$19:$T$30),_xlpm.n,K$14,_xlpm.cum,SUMPRODUCT((ROW($C$19:$C$30)-18&lt;$U93)*K$19:K$30*$T$19:$T$30)+$V93*_xlpm.w,IF(OR(_xlpm.n="",_xlpm.n=0,_xlpm.tot=0,_xlpm.w=0),0,ROUND(_xlpm.cum/_xlpm.tot*_xlpm.n,0)-ROUND((_xlpm.cum-_xlpm.w)/_xlpm.tot*_xlpm.n,0)))</f>
        <v>0</v>
      </c>
      <c r="L93" s="691" cm="1">
        <f t="array" aca="1" ref="L93" ca="1">_xlfn.LET(_xlpm.w,INDEX(L$19:L$30,$U93),_xlpm.tot,SUMPRODUCT(L$19:L$30,$T$19:$T$30),_xlpm.n,L$14,_xlpm.cum,SUMPRODUCT((ROW($C$19:$C$30)-18&lt;$U93)*L$19:L$30*$T$19:$T$30)+$V93*_xlpm.w,IF(OR(_xlpm.n="",_xlpm.n=0,_xlpm.tot=0,_xlpm.w=0),0,ROUND(_xlpm.cum/_xlpm.tot*_xlpm.n,0)-ROUND((_xlpm.cum-_xlpm.w)/_xlpm.tot*_xlpm.n,0)))</f>
        <v>0</v>
      </c>
      <c r="M93" s="691" cm="1">
        <f t="array" aca="1" ref="M93" ca="1">_xlfn.LET(_xlpm.w,INDEX(M$19:M$30,$U93),_xlpm.tot,SUMPRODUCT(M$19:M$30,$T$19:$T$30),_xlpm.n,M$14,_xlpm.cum,SUMPRODUCT((ROW($C$19:$C$30)-18&lt;$U93)*M$19:M$30*$T$19:$T$30)+$V93*_xlpm.w,IF(OR(_xlpm.n="",_xlpm.n=0,_xlpm.tot=0,_xlpm.w=0),0,ROUND(_xlpm.cum/_xlpm.tot*_xlpm.n,0)-ROUND((_xlpm.cum-_xlpm.w)/_xlpm.tot*_xlpm.n,0)))</f>
        <v>0</v>
      </c>
      <c r="N93" s="691" cm="1">
        <f t="array" aca="1" ref="N93" ca="1">_xlfn.LET(_xlpm.w,INDEX(N$19:N$30,$U93),_xlpm.tot,SUMPRODUCT(N$19:N$30,$T$19:$T$30),_xlpm.n,N$14,_xlpm.cum,SUMPRODUCT((ROW($C$19:$C$30)-18&lt;$U93)*N$19:N$30*$T$19:$T$30)+$V93*_xlpm.w,IF(OR(_xlpm.n="",_xlpm.n=0,_xlpm.tot=0,_xlpm.w=0),0,ROUND(_xlpm.cum/_xlpm.tot*_xlpm.n,0)-ROUND((_xlpm.cum-_xlpm.w)/_xlpm.tot*_xlpm.n,0)))</f>
        <v>0</v>
      </c>
      <c r="O93" s="691" cm="1">
        <f t="array" aca="1" ref="O93" ca="1">_xlfn.LET(_xlpm.w,INDEX(O$19:O$30,$U93),_xlpm.tot,SUMPRODUCT(O$19:O$30,$T$19:$T$30),_xlpm.n,O$14,_xlpm.cum,SUMPRODUCT((ROW($C$19:$C$30)-18&lt;$U93)*O$19:O$30*$T$19:$T$30)+$V93*_xlpm.w,IF(OR(_xlpm.n="",_xlpm.n=0,_xlpm.tot=0,_xlpm.w=0),0,ROUND(_xlpm.cum/_xlpm.tot*_xlpm.n,0)-ROUND((_xlpm.cum-_xlpm.w)/_xlpm.tot*_xlpm.n,0)))</f>
        <v>0</v>
      </c>
      <c r="P93" s="691" cm="1">
        <f t="array" aca="1" ref="P93" ca="1">_xlfn.LET(_xlpm.w,INDEX(P$19:P$30,$U93),_xlpm.tot,SUMPRODUCT(P$19:P$30,$T$19:$T$30),_xlpm.n,P$14,_xlpm.cum,SUMPRODUCT((ROW($C$19:$C$30)-18&lt;$U93)*P$19:P$30*$T$19:$T$30)+$V93*_xlpm.w,IF(OR(_xlpm.n="",_xlpm.n=0,_xlpm.tot=0,_xlpm.w=0),0,ROUND(_xlpm.cum/_xlpm.tot*_xlpm.n,0)-ROUND((_xlpm.cum-_xlpm.w)/_xlpm.tot*_xlpm.n,0)))</f>
        <v>0</v>
      </c>
      <c r="Q93" s="691" cm="1">
        <f t="array" aca="1" ref="Q93" ca="1">_xlfn.LET(_xlpm.w,INDEX(Q$19:Q$30,$U93),_xlpm.tot,SUMPRODUCT(Q$19:Q$30,$T$19:$T$30),_xlpm.n,Q$14,_xlpm.cum,SUMPRODUCT((ROW($C$19:$C$30)-18&lt;$U93)*Q$19:Q$30*$T$19:$T$30)+$V93*_xlpm.w,IF(OR(_xlpm.n="",_xlpm.n=0,_xlpm.tot=0,_xlpm.w=0),0,ROUND(_xlpm.cum/_xlpm.tot*_xlpm.n,0)-ROUND((_xlpm.cum-_xlpm.w)/_xlpm.tot*_xlpm.n,0)))</f>
        <v>0</v>
      </c>
      <c r="R93" s="691" cm="1">
        <f t="array" aca="1" ref="R93" ca="1">_xlfn.LET(_xlpm.w,INDEX(R$19:R$30,$U93),_xlpm.tot,SUMPRODUCT(R$19:R$30,$T$19:$T$30),_xlpm.n,R$14,_xlpm.cum,SUMPRODUCT((ROW($C$19:$C$30)-18&lt;$U93)*R$19:R$30*$T$19:$T$30)+$V93*_xlpm.w,IF(OR(_xlpm.n="",_xlpm.n=0,_xlpm.tot=0,_xlpm.w=0),0,ROUND(_xlpm.cum/_xlpm.tot*_xlpm.n,0)-ROUND((_xlpm.cum-_xlpm.w)/_xlpm.tot*_xlpm.n,0)))</f>
        <v>0</v>
      </c>
      <c r="S93" s="692">
        <f t="shared" ca="1" si="16"/>
        <v>3</v>
      </c>
      <c r="T93" s="693">
        <f t="shared" ca="1" si="17"/>
        <v>46282</v>
      </c>
      <c r="U93" s="694">
        <f t="shared" ca="1" si="18"/>
        <v>9</v>
      </c>
      <c r="V93" s="694">
        <f ca="1">COUNTIFS($U$56:$U93,$U93)</f>
        <v>3</v>
      </c>
      <c r="W93" s="695">
        <f t="shared" ca="1" si="19"/>
        <v>14.4</v>
      </c>
      <c r="X93" s="696" cm="1">
        <f t="array" aca="1" ref="X93" ca="1">INDEX($U$19:$U$30,$U93)</f>
        <v>20</v>
      </c>
      <c r="Y93" s="697">
        <f t="shared" ca="1" si="20"/>
        <v>0.72</v>
      </c>
      <c r="Z93" s="698" t="str">
        <f t="shared" ca="1" si="21"/>
        <v>OK</v>
      </c>
    </row>
    <row r="94" spans="1:26" ht="13.95" customHeight="1">
      <c r="A94" s="689">
        <f t="shared" si="22"/>
        <v>39</v>
      </c>
      <c r="B94" s="690" t="str" cm="1">
        <f t="array" aca="1" ref="B94" ca="1">INDEX($B$19:$B$30,$U94)</f>
        <v>SEPTEMBRE</v>
      </c>
      <c r="C94" s="691" cm="1">
        <f t="array" aca="1" ref="C94" ca="1">_xlfn.LET(_xlpm.w,INDEX(C$19:C$30,$U94),_xlpm.tot,SUMPRODUCT(C$19:C$30,$T$19:$T$30),_xlpm.n,C$14,_xlpm.cum,SUMPRODUCT((ROW($C$19:$C$30)-18&lt;$U94)*C$19:C$30*$T$19:$T$30)+$V94*_xlpm.w,IF(OR(_xlpm.n="",_xlpm.n=0,_xlpm.tot=0,_xlpm.w=0),0,ROUND(_xlpm.cum/_xlpm.tot*_xlpm.n,0)-ROUND((_xlpm.cum-_xlpm.w)/_xlpm.tot*_xlpm.n,0)))</f>
        <v>1</v>
      </c>
      <c r="D94" s="691" cm="1">
        <f t="array" aca="1" ref="D94" ca="1">_xlfn.LET(_xlpm.w,INDEX(D$19:D$30,$U94),_xlpm.tot,SUMPRODUCT(D$19:D$30,$T$19:$T$30),_xlpm.n,D$14,_xlpm.cum,SUMPRODUCT((ROW($C$19:$C$30)-18&lt;$U94)*D$19:D$30*$T$19:$T$30)+$V94*_xlpm.w,IF(OR(_xlpm.n="",_xlpm.n=0,_xlpm.tot=0,_xlpm.w=0),0,ROUND(_xlpm.cum/_xlpm.tot*_xlpm.n,0)-ROUND((_xlpm.cum-_xlpm.w)/_xlpm.tot*_xlpm.n,0)))</f>
        <v>0</v>
      </c>
      <c r="E94" s="691" cm="1">
        <f t="array" aca="1" ref="E94" ca="1">_xlfn.LET(_xlpm.w,INDEX(E$19:E$30,$U94),_xlpm.tot,SUMPRODUCT(E$19:E$30,$T$19:$T$30),_xlpm.n,E$14,_xlpm.cum,SUMPRODUCT((ROW($C$19:$C$30)-18&lt;$U94)*E$19:E$30*$T$19:$T$30)+$V94*_xlpm.w,IF(OR(_xlpm.n="",_xlpm.n=0,_xlpm.tot=0,_xlpm.w=0),0,ROUND(_xlpm.cum/_xlpm.tot*_xlpm.n,0)-ROUND((_xlpm.cum-_xlpm.w)/_xlpm.tot*_xlpm.n,0)))</f>
        <v>2</v>
      </c>
      <c r="F94" s="691" cm="1">
        <f t="array" aca="1" ref="F94" ca="1">_xlfn.LET(_xlpm.w,INDEX(F$19:F$30,$U94),_xlpm.tot,SUMPRODUCT(F$19:F$30,$T$19:$T$30),_xlpm.n,F$14,_xlpm.cum,SUMPRODUCT((ROW($C$19:$C$30)-18&lt;$U94)*F$19:F$30*$T$19:$T$30)+$V94*_xlpm.w,IF(OR(_xlpm.n="",_xlpm.n=0,_xlpm.tot=0,_xlpm.w=0),0,ROUND(_xlpm.cum/_xlpm.tot*_xlpm.n,0)-ROUND((_xlpm.cum-_xlpm.w)/_xlpm.tot*_xlpm.n,0)))</f>
        <v>0</v>
      </c>
      <c r="G94" s="691" cm="1">
        <f t="array" aca="1" ref="G94" ca="1">_xlfn.LET(_xlpm.w,INDEX(G$19:G$30,$U94),_xlpm.tot,SUMPRODUCT(G$19:G$30,$T$19:$T$30),_xlpm.n,G$14,_xlpm.cum,SUMPRODUCT((ROW($C$19:$C$30)-18&lt;$U94)*G$19:G$30*$T$19:$T$30)+$V94*_xlpm.w,IF(OR(_xlpm.n="",_xlpm.n=0,_xlpm.tot=0,_xlpm.w=0),0,ROUND(_xlpm.cum/_xlpm.tot*_xlpm.n,0)-ROUND((_xlpm.cum-_xlpm.w)/_xlpm.tot*_xlpm.n,0)))</f>
        <v>0</v>
      </c>
      <c r="H94" s="691" cm="1">
        <f t="array" aca="1" ref="H94" ca="1">_xlfn.LET(_xlpm.w,INDEX(H$19:H$30,$U94),_xlpm.tot,SUMPRODUCT(H$19:H$30,$T$19:$T$30),_xlpm.n,H$14,_xlpm.cum,SUMPRODUCT((ROW($C$19:$C$30)-18&lt;$U94)*H$19:H$30*$T$19:$T$30)+$V94*_xlpm.w,IF(OR(_xlpm.n="",_xlpm.n=0,_xlpm.tot=0,_xlpm.w=0),0,ROUND(_xlpm.cum/_xlpm.tot*_xlpm.n,0)-ROUND((_xlpm.cum-_xlpm.w)/_xlpm.tot*_xlpm.n,0)))</f>
        <v>0</v>
      </c>
      <c r="I94" s="691" cm="1">
        <f t="array" aca="1" ref="I94" ca="1">_xlfn.LET(_xlpm.w,INDEX(I$19:I$30,$U94),_xlpm.tot,SUMPRODUCT(I$19:I$30,$T$19:$T$30),_xlpm.n,I$14,_xlpm.cum,SUMPRODUCT((ROW($C$19:$C$30)-18&lt;$U94)*I$19:I$30*$T$19:$T$30)+$V94*_xlpm.w,IF(OR(_xlpm.n="",_xlpm.n=0,_xlpm.tot=0,_xlpm.w=0),0,ROUND(_xlpm.cum/_xlpm.tot*_xlpm.n,0)-ROUND((_xlpm.cum-_xlpm.w)/_xlpm.tot*_xlpm.n,0)))</f>
        <v>0</v>
      </c>
      <c r="J94" s="691" cm="1">
        <f t="array" aca="1" ref="J94" ca="1">_xlfn.LET(_xlpm.w,INDEX(J$19:J$30,$U94),_xlpm.tot,SUMPRODUCT(J$19:J$30,$T$19:$T$30),_xlpm.n,J$14,_xlpm.cum,SUMPRODUCT((ROW($C$19:$C$30)-18&lt;$U94)*J$19:J$30*$T$19:$T$30)+$V94*_xlpm.w,IF(OR(_xlpm.n="",_xlpm.n=0,_xlpm.tot=0,_xlpm.w=0),0,ROUND(_xlpm.cum/_xlpm.tot*_xlpm.n,0)-ROUND((_xlpm.cum-_xlpm.w)/_xlpm.tot*_xlpm.n,0)))</f>
        <v>0</v>
      </c>
      <c r="K94" s="691" cm="1">
        <f t="array" aca="1" ref="K94" ca="1">_xlfn.LET(_xlpm.w,INDEX(K$19:K$30,$U94),_xlpm.tot,SUMPRODUCT(K$19:K$30,$T$19:$T$30),_xlpm.n,K$14,_xlpm.cum,SUMPRODUCT((ROW($C$19:$C$30)-18&lt;$U94)*K$19:K$30*$T$19:$T$30)+$V94*_xlpm.w,IF(OR(_xlpm.n="",_xlpm.n=0,_xlpm.tot=0,_xlpm.w=0),0,ROUND(_xlpm.cum/_xlpm.tot*_xlpm.n,0)-ROUND((_xlpm.cum-_xlpm.w)/_xlpm.tot*_xlpm.n,0)))</f>
        <v>0</v>
      </c>
      <c r="L94" s="691" cm="1">
        <f t="array" aca="1" ref="L94" ca="1">_xlfn.LET(_xlpm.w,INDEX(L$19:L$30,$U94),_xlpm.tot,SUMPRODUCT(L$19:L$30,$T$19:$T$30),_xlpm.n,L$14,_xlpm.cum,SUMPRODUCT((ROW($C$19:$C$30)-18&lt;$U94)*L$19:L$30*$T$19:$T$30)+$V94*_xlpm.w,IF(OR(_xlpm.n="",_xlpm.n=0,_xlpm.tot=0,_xlpm.w=0),0,ROUND(_xlpm.cum/_xlpm.tot*_xlpm.n,0)-ROUND((_xlpm.cum-_xlpm.w)/_xlpm.tot*_xlpm.n,0)))</f>
        <v>0</v>
      </c>
      <c r="M94" s="691" cm="1">
        <f t="array" aca="1" ref="M94" ca="1">_xlfn.LET(_xlpm.w,INDEX(M$19:M$30,$U94),_xlpm.tot,SUMPRODUCT(M$19:M$30,$T$19:$T$30),_xlpm.n,M$14,_xlpm.cum,SUMPRODUCT((ROW($C$19:$C$30)-18&lt;$U94)*M$19:M$30*$T$19:$T$30)+$V94*_xlpm.w,IF(OR(_xlpm.n="",_xlpm.n=0,_xlpm.tot=0,_xlpm.w=0),0,ROUND(_xlpm.cum/_xlpm.tot*_xlpm.n,0)-ROUND((_xlpm.cum-_xlpm.w)/_xlpm.tot*_xlpm.n,0)))</f>
        <v>0</v>
      </c>
      <c r="N94" s="691" cm="1">
        <f t="array" aca="1" ref="N94" ca="1">_xlfn.LET(_xlpm.w,INDEX(N$19:N$30,$U94),_xlpm.tot,SUMPRODUCT(N$19:N$30,$T$19:$T$30),_xlpm.n,N$14,_xlpm.cum,SUMPRODUCT((ROW($C$19:$C$30)-18&lt;$U94)*N$19:N$30*$T$19:$T$30)+$V94*_xlpm.w,IF(OR(_xlpm.n="",_xlpm.n=0,_xlpm.tot=0,_xlpm.w=0),0,ROUND(_xlpm.cum/_xlpm.tot*_xlpm.n,0)-ROUND((_xlpm.cum-_xlpm.w)/_xlpm.tot*_xlpm.n,0)))</f>
        <v>0</v>
      </c>
      <c r="O94" s="691" cm="1">
        <f t="array" aca="1" ref="O94" ca="1">_xlfn.LET(_xlpm.w,INDEX(O$19:O$30,$U94),_xlpm.tot,SUMPRODUCT(O$19:O$30,$T$19:$T$30),_xlpm.n,O$14,_xlpm.cum,SUMPRODUCT((ROW($C$19:$C$30)-18&lt;$U94)*O$19:O$30*$T$19:$T$30)+$V94*_xlpm.w,IF(OR(_xlpm.n="",_xlpm.n=0,_xlpm.tot=0,_xlpm.w=0),0,ROUND(_xlpm.cum/_xlpm.tot*_xlpm.n,0)-ROUND((_xlpm.cum-_xlpm.w)/_xlpm.tot*_xlpm.n,0)))</f>
        <v>0</v>
      </c>
      <c r="P94" s="691" cm="1">
        <f t="array" aca="1" ref="P94" ca="1">_xlfn.LET(_xlpm.w,INDEX(P$19:P$30,$U94),_xlpm.tot,SUMPRODUCT(P$19:P$30,$T$19:$T$30),_xlpm.n,P$14,_xlpm.cum,SUMPRODUCT((ROW($C$19:$C$30)-18&lt;$U94)*P$19:P$30*$T$19:$T$30)+$V94*_xlpm.w,IF(OR(_xlpm.n="",_xlpm.n=0,_xlpm.tot=0,_xlpm.w=0),0,ROUND(_xlpm.cum/_xlpm.tot*_xlpm.n,0)-ROUND((_xlpm.cum-_xlpm.w)/_xlpm.tot*_xlpm.n,0)))</f>
        <v>0</v>
      </c>
      <c r="Q94" s="691" cm="1">
        <f t="array" aca="1" ref="Q94" ca="1">_xlfn.LET(_xlpm.w,INDEX(Q$19:Q$30,$U94),_xlpm.tot,SUMPRODUCT(Q$19:Q$30,$T$19:$T$30),_xlpm.n,Q$14,_xlpm.cum,SUMPRODUCT((ROW($C$19:$C$30)-18&lt;$U94)*Q$19:Q$30*$T$19:$T$30)+$V94*_xlpm.w,IF(OR(_xlpm.n="",_xlpm.n=0,_xlpm.tot=0,_xlpm.w=0),0,ROUND(_xlpm.cum/_xlpm.tot*_xlpm.n,0)-ROUND((_xlpm.cum-_xlpm.w)/_xlpm.tot*_xlpm.n,0)))</f>
        <v>0</v>
      </c>
      <c r="R94" s="691" cm="1">
        <f t="array" aca="1" ref="R94" ca="1">_xlfn.LET(_xlpm.w,INDEX(R$19:R$30,$U94),_xlpm.tot,SUMPRODUCT(R$19:R$30,$T$19:$T$30),_xlpm.n,R$14,_xlpm.cum,SUMPRODUCT((ROW($C$19:$C$30)-18&lt;$U94)*R$19:R$30*$T$19:$T$30)+$V94*_xlpm.w,IF(OR(_xlpm.n="",_xlpm.n=0,_xlpm.tot=0,_xlpm.w=0),0,ROUND(_xlpm.cum/_xlpm.tot*_xlpm.n,0)-ROUND((_xlpm.cum-_xlpm.w)/_xlpm.tot*_xlpm.n,0)))</f>
        <v>0</v>
      </c>
      <c r="S94" s="692">
        <f t="shared" ca="1" si="16"/>
        <v>3</v>
      </c>
      <c r="T94" s="693">
        <f t="shared" ca="1" si="17"/>
        <v>46289</v>
      </c>
      <c r="U94" s="694">
        <f t="shared" ca="1" si="18"/>
        <v>9</v>
      </c>
      <c r="V94" s="694">
        <f ca="1">COUNTIFS($U$56:$U94,$U94)</f>
        <v>4</v>
      </c>
      <c r="W94" s="695">
        <f t="shared" ca="1" si="19"/>
        <v>14.4</v>
      </c>
      <c r="X94" s="696" cm="1">
        <f t="array" aca="1" ref="X94" ca="1">INDEX($U$19:$U$30,$U94)</f>
        <v>20</v>
      </c>
      <c r="Y94" s="697">
        <f t="shared" ca="1" si="20"/>
        <v>0.72</v>
      </c>
      <c r="Z94" s="698" t="str">
        <f t="shared" ca="1" si="21"/>
        <v>OK</v>
      </c>
    </row>
    <row r="95" spans="1:26" ht="13.95" customHeight="1">
      <c r="A95" s="689">
        <f t="shared" si="22"/>
        <v>40</v>
      </c>
      <c r="B95" s="690" t="str" cm="1">
        <f t="array" aca="1" ref="B95" ca="1">INDEX($B$19:$B$30,$U95)</f>
        <v>OCTOBRE</v>
      </c>
      <c r="C95" s="691" cm="1">
        <f t="array" aca="1" ref="C95" ca="1">_xlfn.LET(_xlpm.w,INDEX(C$19:C$30,$U95),_xlpm.tot,SUMPRODUCT(C$19:C$30,$T$19:$T$30),_xlpm.n,C$14,_xlpm.cum,SUMPRODUCT((ROW($C$19:$C$30)-18&lt;$U95)*C$19:C$30*$T$19:$T$30)+$V95*_xlpm.w,IF(OR(_xlpm.n="",_xlpm.n=0,_xlpm.tot=0,_xlpm.w=0),0,ROUND(_xlpm.cum/_xlpm.tot*_xlpm.n,0)-ROUND((_xlpm.cum-_xlpm.w)/_xlpm.tot*_xlpm.n,0)))</f>
        <v>0</v>
      </c>
      <c r="D95" s="691" cm="1">
        <f t="array" aca="1" ref="D95" ca="1">_xlfn.LET(_xlpm.w,INDEX(D$19:D$30,$U95),_xlpm.tot,SUMPRODUCT(D$19:D$30,$T$19:$T$30),_xlpm.n,D$14,_xlpm.cum,SUMPRODUCT((ROW($C$19:$C$30)-18&lt;$U95)*D$19:D$30*$T$19:$T$30)+$V95*_xlpm.w,IF(OR(_xlpm.n="",_xlpm.n=0,_xlpm.tot=0,_xlpm.w=0),0,ROUND(_xlpm.cum/_xlpm.tot*_xlpm.n,0)-ROUND((_xlpm.cum-_xlpm.w)/_xlpm.tot*_xlpm.n,0)))</f>
        <v>0</v>
      </c>
      <c r="E95" s="691" cm="1">
        <f t="array" aca="1" ref="E95" ca="1">_xlfn.LET(_xlpm.w,INDEX(E$19:E$30,$U95),_xlpm.tot,SUMPRODUCT(E$19:E$30,$T$19:$T$30),_xlpm.n,E$14,_xlpm.cum,SUMPRODUCT((ROW($C$19:$C$30)-18&lt;$U95)*E$19:E$30*$T$19:$T$30)+$V95*_xlpm.w,IF(OR(_xlpm.n="",_xlpm.n=0,_xlpm.tot=0,_xlpm.w=0),0,ROUND(_xlpm.cum/_xlpm.tot*_xlpm.n,0)-ROUND((_xlpm.cum-_xlpm.w)/_xlpm.tot*_xlpm.n,0)))</f>
        <v>1</v>
      </c>
      <c r="F95" s="691" cm="1">
        <f t="array" aca="1" ref="F95" ca="1">_xlfn.LET(_xlpm.w,INDEX(F$19:F$30,$U95),_xlpm.tot,SUMPRODUCT(F$19:F$30,$T$19:$T$30),_xlpm.n,F$14,_xlpm.cum,SUMPRODUCT((ROW($C$19:$C$30)-18&lt;$U95)*F$19:F$30*$T$19:$T$30)+$V95*_xlpm.w,IF(OR(_xlpm.n="",_xlpm.n=0,_xlpm.tot=0,_xlpm.w=0),0,ROUND(_xlpm.cum/_xlpm.tot*_xlpm.n,0)-ROUND((_xlpm.cum-_xlpm.w)/_xlpm.tot*_xlpm.n,0)))</f>
        <v>1</v>
      </c>
      <c r="G95" s="691" cm="1">
        <f t="array" aca="1" ref="G95" ca="1">_xlfn.LET(_xlpm.w,INDEX(G$19:G$30,$U95),_xlpm.tot,SUMPRODUCT(G$19:G$30,$T$19:$T$30),_xlpm.n,G$14,_xlpm.cum,SUMPRODUCT((ROW($C$19:$C$30)-18&lt;$U95)*G$19:G$30*$T$19:$T$30)+$V95*_xlpm.w,IF(OR(_xlpm.n="",_xlpm.n=0,_xlpm.tot=0,_xlpm.w=0),0,ROUND(_xlpm.cum/_xlpm.tot*_xlpm.n,0)-ROUND((_xlpm.cum-_xlpm.w)/_xlpm.tot*_xlpm.n,0)))</f>
        <v>0</v>
      </c>
      <c r="H95" s="691" cm="1">
        <f t="array" aca="1" ref="H95" ca="1">_xlfn.LET(_xlpm.w,INDEX(H$19:H$30,$U95),_xlpm.tot,SUMPRODUCT(H$19:H$30,$T$19:$T$30),_xlpm.n,H$14,_xlpm.cum,SUMPRODUCT((ROW($C$19:$C$30)-18&lt;$U95)*H$19:H$30*$T$19:$T$30)+$V95*_xlpm.w,IF(OR(_xlpm.n="",_xlpm.n=0,_xlpm.tot=0,_xlpm.w=0),0,ROUND(_xlpm.cum/_xlpm.tot*_xlpm.n,0)-ROUND((_xlpm.cum-_xlpm.w)/_xlpm.tot*_xlpm.n,0)))</f>
        <v>0</v>
      </c>
      <c r="I95" s="691" cm="1">
        <f t="array" aca="1" ref="I95" ca="1">_xlfn.LET(_xlpm.w,INDEX(I$19:I$30,$U95),_xlpm.tot,SUMPRODUCT(I$19:I$30,$T$19:$T$30),_xlpm.n,I$14,_xlpm.cum,SUMPRODUCT((ROW($C$19:$C$30)-18&lt;$U95)*I$19:I$30*$T$19:$T$30)+$V95*_xlpm.w,IF(OR(_xlpm.n="",_xlpm.n=0,_xlpm.tot=0,_xlpm.w=0),0,ROUND(_xlpm.cum/_xlpm.tot*_xlpm.n,0)-ROUND((_xlpm.cum-_xlpm.w)/_xlpm.tot*_xlpm.n,0)))</f>
        <v>0</v>
      </c>
      <c r="J95" s="691" cm="1">
        <f t="array" aca="1" ref="J95" ca="1">_xlfn.LET(_xlpm.w,INDEX(J$19:J$30,$U95),_xlpm.tot,SUMPRODUCT(J$19:J$30,$T$19:$T$30),_xlpm.n,J$14,_xlpm.cum,SUMPRODUCT((ROW($C$19:$C$30)-18&lt;$U95)*J$19:J$30*$T$19:$T$30)+$V95*_xlpm.w,IF(OR(_xlpm.n="",_xlpm.n=0,_xlpm.tot=0,_xlpm.w=0),0,ROUND(_xlpm.cum/_xlpm.tot*_xlpm.n,0)-ROUND((_xlpm.cum-_xlpm.w)/_xlpm.tot*_xlpm.n,0)))</f>
        <v>0</v>
      </c>
      <c r="K95" s="691" cm="1">
        <f t="array" aca="1" ref="K95" ca="1">_xlfn.LET(_xlpm.w,INDEX(K$19:K$30,$U95),_xlpm.tot,SUMPRODUCT(K$19:K$30,$T$19:$T$30),_xlpm.n,K$14,_xlpm.cum,SUMPRODUCT((ROW($C$19:$C$30)-18&lt;$U95)*K$19:K$30*$T$19:$T$30)+$V95*_xlpm.w,IF(OR(_xlpm.n="",_xlpm.n=0,_xlpm.tot=0,_xlpm.w=0),0,ROUND(_xlpm.cum/_xlpm.tot*_xlpm.n,0)-ROUND((_xlpm.cum-_xlpm.w)/_xlpm.tot*_xlpm.n,0)))</f>
        <v>0</v>
      </c>
      <c r="L95" s="691" cm="1">
        <f t="array" aca="1" ref="L95" ca="1">_xlfn.LET(_xlpm.w,INDEX(L$19:L$30,$U95),_xlpm.tot,SUMPRODUCT(L$19:L$30,$T$19:$T$30),_xlpm.n,L$14,_xlpm.cum,SUMPRODUCT((ROW($C$19:$C$30)-18&lt;$U95)*L$19:L$30*$T$19:$T$30)+$V95*_xlpm.w,IF(OR(_xlpm.n="",_xlpm.n=0,_xlpm.tot=0,_xlpm.w=0),0,ROUND(_xlpm.cum/_xlpm.tot*_xlpm.n,0)-ROUND((_xlpm.cum-_xlpm.w)/_xlpm.tot*_xlpm.n,0)))</f>
        <v>0</v>
      </c>
      <c r="M95" s="691" cm="1">
        <f t="array" aca="1" ref="M95" ca="1">_xlfn.LET(_xlpm.w,INDEX(M$19:M$30,$U95),_xlpm.tot,SUMPRODUCT(M$19:M$30,$T$19:$T$30),_xlpm.n,M$14,_xlpm.cum,SUMPRODUCT((ROW($C$19:$C$30)-18&lt;$U95)*M$19:M$30*$T$19:$T$30)+$V95*_xlpm.w,IF(OR(_xlpm.n="",_xlpm.n=0,_xlpm.tot=0,_xlpm.w=0),0,ROUND(_xlpm.cum/_xlpm.tot*_xlpm.n,0)-ROUND((_xlpm.cum-_xlpm.w)/_xlpm.tot*_xlpm.n,0)))</f>
        <v>0</v>
      </c>
      <c r="N95" s="691" cm="1">
        <f t="array" aca="1" ref="N95" ca="1">_xlfn.LET(_xlpm.w,INDEX(N$19:N$30,$U95),_xlpm.tot,SUMPRODUCT(N$19:N$30,$T$19:$T$30),_xlpm.n,N$14,_xlpm.cum,SUMPRODUCT((ROW($C$19:$C$30)-18&lt;$U95)*N$19:N$30*$T$19:$T$30)+$V95*_xlpm.w,IF(OR(_xlpm.n="",_xlpm.n=0,_xlpm.tot=0,_xlpm.w=0),0,ROUND(_xlpm.cum/_xlpm.tot*_xlpm.n,0)-ROUND((_xlpm.cum-_xlpm.w)/_xlpm.tot*_xlpm.n,0)))</f>
        <v>0</v>
      </c>
      <c r="O95" s="691" cm="1">
        <f t="array" aca="1" ref="O95" ca="1">_xlfn.LET(_xlpm.w,INDEX(O$19:O$30,$U95),_xlpm.tot,SUMPRODUCT(O$19:O$30,$T$19:$T$30),_xlpm.n,O$14,_xlpm.cum,SUMPRODUCT((ROW($C$19:$C$30)-18&lt;$U95)*O$19:O$30*$T$19:$T$30)+$V95*_xlpm.w,IF(OR(_xlpm.n="",_xlpm.n=0,_xlpm.tot=0,_xlpm.w=0),0,ROUND(_xlpm.cum/_xlpm.tot*_xlpm.n,0)-ROUND((_xlpm.cum-_xlpm.w)/_xlpm.tot*_xlpm.n,0)))</f>
        <v>0</v>
      </c>
      <c r="P95" s="691" cm="1">
        <f t="array" aca="1" ref="P95" ca="1">_xlfn.LET(_xlpm.w,INDEX(P$19:P$30,$U95),_xlpm.tot,SUMPRODUCT(P$19:P$30,$T$19:$T$30),_xlpm.n,P$14,_xlpm.cum,SUMPRODUCT((ROW($C$19:$C$30)-18&lt;$U95)*P$19:P$30*$T$19:$T$30)+$V95*_xlpm.w,IF(OR(_xlpm.n="",_xlpm.n=0,_xlpm.tot=0,_xlpm.w=0),0,ROUND(_xlpm.cum/_xlpm.tot*_xlpm.n,0)-ROUND((_xlpm.cum-_xlpm.w)/_xlpm.tot*_xlpm.n,0)))</f>
        <v>0</v>
      </c>
      <c r="Q95" s="691" cm="1">
        <f t="array" aca="1" ref="Q95" ca="1">_xlfn.LET(_xlpm.w,INDEX(Q$19:Q$30,$U95),_xlpm.tot,SUMPRODUCT(Q$19:Q$30,$T$19:$T$30),_xlpm.n,Q$14,_xlpm.cum,SUMPRODUCT((ROW($C$19:$C$30)-18&lt;$U95)*Q$19:Q$30*$T$19:$T$30)+$V95*_xlpm.w,IF(OR(_xlpm.n="",_xlpm.n=0,_xlpm.tot=0,_xlpm.w=0),0,ROUND(_xlpm.cum/_xlpm.tot*_xlpm.n,0)-ROUND((_xlpm.cum-_xlpm.w)/_xlpm.tot*_xlpm.n,0)))</f>
        <v>0</v>
      </c>
      <c r="R95" s="691" cm="1">
        <f t="array" aca="1" ref="R95" ca="1">_xlfn.LET(_xlpm.w,INDEX(R$19:R$30,$U95),_xlpm.tot,SUMPRODUCT(R$19:R$30,$T$19:$T$30),_xlpm.n,R$14,_xlpm.cum,SUMPRODUCT((ROW($C$19:$C$30)-18&lt;$U95)*R$19:R$30*$T$19:$T$30)+$V95*_xlpm.w,IF(OR(_xlpm.n="",_xlpm.n=0,_xlpm.tot=0,_xlpm.w=0),0,ROUND(_xlpm.cum/_xlpm.tot*_xlpm.n,0)-ROUND((_xlpm.cum-_xlpm.w)/_xlpm.tot*_xlpm.n,0)))</f>
        <v>0</v>
      </c>
      <c r="S95" s="692">
        <f t="shared" ca="1" si="16"/>
        <v>2</v>
      </c>
      <c r="T95" s="693">
        <f t="shared" ca="1" si="17"/>
        <v>46296</v>
      </c>
      <c r="U95" s="694">
        <f t="shared" ca="1" si="18"/>
        <v>10</v>
      </c>
      <c r="V95" s="694">
        <f ca="1">COUNTIFS($U$56:$U95,$U95)</f>
        <v>1</v>
      </c>
      <c r="W95" s="695">
        <f t="shared" ca="1" si="19"/>
        <v>9.6</v>
      </c>
      <c r="X95" s="696" cm="1">
        <f t="array" aca="1" ref="X95" ca="1">INDEX($U$19:$U$30,$U95)</f>
        <v>20</v>
      </c>
      <c r="Y95" s="697">
        <f t="shared" ca="1" si="20"/>
        <v>0.48</v>
      </c>
      <c r="Z95" s="698" t="str">
        <f t="shared" ca="1" si="21"/>
        <v>OK</v>
      </c>
    </row>
    <row r="96" spans="1:26" ht="13.95" customHeight="1">
      <c r="A96" s="689">
        <f t="shared" si="22"/>
        <v>41</v>
      </c>
      <c r="B96" s="690" t="str" cm="1">
        <f t="array" aca="1" ref="B96" ca="1">INDEX($B$19:$B$30,$U96)</f>
        <v>OCTOBRE</v>
      </c>
      <c r="C96" s="691" cm="1">
        <f t="array" aca="1" ref="C96" ca="1">_xlfn.LET(_xlpm.w,INDEX(C$19:C$30,$U96),_xlpm.tot,SUMPRODUCT(C$19:C$30,$T$19:$T$30),_xlpm.n,C$14,_xlpm.cum,SUMPRODUCT((ROW($C$19:$C$30)-18&lt;$U96)*C$19:C$30*$T$19:$T$30)+$V96*_xlpm.w,IF(OR(_xlpm.n="",_xlpm.n=0,_xlpm.tot=0,_xlpm.w=0),0,ROUND(_xlpm.cum/_xlpm.tot*_xlpm.n,0)-ROUND((_xlpm.cum-_xlpm.w)/_xlpm.tot*_xlpm.n,0)))</f>
        <v>0</v>
      </c>
      <c r="D96" s="691" cm="1">
        <f t="array" aca="1" ref="D96" ca="1">_xlfn.LET(_xlpm.w,INDEX(D$19:D$30,$U96),_xlpm.tot,SUMPRODUCT(D$19:D$30,$T$19:$T$30),_xlpm.n,D$14,_xlpm.cum,SUMPRODUCT((ROW($C$19:$C$30)-18&lt;$U96)*D$19:D$30*$T$19:$T$30)+$V96*_xlpm.w,IF(OR(_xlpm.n="",_xlpm.n=0,_xlpm.tot=0,_xlpm.w=0),0,ROUND(_xlpm.cum/_xlpm.tot*_xlpm.n,0)-ROUND((_xlpm.cum-_xlpm.w)/_xlpm.tot*_xlpm.n,0)))</f>
        <v>0</v>
      </c>
      <c r="E96" s="691" cm="1">
        <f t="array" aca="1" ref="E96" ca="1">_xlfn.LET(_xlpm.w,INDEX(E$19:E$30,$U96),_xlpm.tot,SUMPRODUCT(E$19:E$30,$T$19:$T$30),_xlpm.n,E$14,_xlpm.cum,SUMPRODUCT((ROW($C$19:$C$30)-18&lt;$U96)*E$19:E$30*$T$19:$T$30)+$V96*_xlpm.w,IF(OR(_xlpm.n="",_xlpm.n=0,_xlpm.tot=0,_xlpm.w=0),0,ROUND(_xlpm.cum/_xlpm.tot*_xlpm.n,0)-ROUND((_xlpm.cum-_xlpm.w)/_xlpm.tot*_xlpm.n,0)))</f>
        <v>1</v>
      </c>
      <c r="F96" s="691" cm="1">
        <f t="array" aca="1" ref="F96" ca="1">_xlfn.LET(_xlpm.w,INDEX(F$19:F$30,$U96),_xlpm.tot,SUMPRODUCT(F$19:F$30,$T$19:$T$30),_xlpm.n,F$14,_xlpm.cum,SUMPRODUCT((ROW($C$19:$C$30)-18&lt;$U96)*F$19:F$30*$T$19:$T$30)+$V96*_xlpm.w,IF(OR(_xlpm.n="",_xlpm.n=0,_xlpm.tot=0,_xlpm.w=0),0,ROUND(_xlpm.cum/_xlpm.tot*_xlpm.n,0)-ROUND((_xlpm.cum-_xlpm.w)/_xlpm.tot*_xlpm.n,0)))</f>
        <v>1</v>
      </c>
      <c r="G96" s="691" cm="1">
        <f t="array" aca="1" ref="G96" ca="1">_xlfn.LET(_xlpm.w,INDEX(G$19:G$30,$U96),_xlpm.tot,SUMPRODUCT(G$19:G$30,$T$19:$T$30),_xlpm.n,G$14,_xlpm.cum,SUMPRODUCT((ROW($C$19:$C$30)-18&lt;$U96)*G$19:G$30*$T$19:$T$30)+$V96*_xlpm.w,IF(OR(_xlpm.n="",_xlpm.n=0,_xlpm.tot=0,_xlpm.w=0),0,ROUND(_xlpm.cum/_xlpm.tot*_xlpm.n,0)-ROUND((_xlpm.cum-_xlpm.w)/_xlpm.tot*_xlpm.n,0)))</f>
        <v>0</v>
      </c>
      <c r="H96" s="691" cm="1">
        <f t="array" aca="1" ref="H96" ca="1">_xlfn.LET(_xlpm.w,INDEX(H$19:H$30,$U96),_xlpm.tot,SUMPRODUCT(H$19:H$30,$T$19:$T$30),_xlpm.n,H$14,_xlpm.cum,SUMPRODUCT((ROW($C$19:$C$30)-18&lt;$U96)*H$19:H$30*$T$19:$T$30)+$V96*_xlpm.w,IF(OR(_xlpm.n="",_xlpm.n=0,_xlpm.tot=0,_xlpm.w=0),0,ROUND(_xlpm.cum/_xlpm.tot*_xlpm.n,0)-ROUND((_xlpm.cum-_xlpm.w)/_xlpm.tot*_xlpm.n,0)))</f>
        <v>0</v>
      </c>
      <c r="I96" s="691" cm="1">
        <f t="array" aca="1" ref="I96" ca="1">_xlfn.LET(_xlpm.w,INDEX(I$19:I$30,$U96),_xlpm.tot,SUMPRODUCT(I$19:I$30,$T$19:$T$30),_xlpm.n,I$14,_xlpm.cum,SUMPRODUCT((ROW($C$19:$C$30)-18&lt;$U96)*I$19:I$30*$T$19:$T$30)+$V96*_xlpm.w,IF(OR(_xlpm.n="",_xlpm.n=0,_xlpm.tot=0,_xlpm.w=0),0,ROUND(_xlpm.cum/_xlpm.tot*_xlpm.n,0)-ROUND((_xlpm.cum-_xlpm.w)/_xlpm.tot*_xlpm.n,0)))</f>
        <v>0</v>
      </c>
      <c r="J96" s="691" cm="1">
        <f t="array" aca="1" ref="J96" ca="1">_xlfn.LET(_xlpm.w,INDEX(J$19:J$30,$U96),_xlpm.tot,SUMPRODUCT(J$19:J$30,$T$19:$T$30),_xlpm.n,J$14,_xlpm.cum,SUMPRODUCT((ROW($C$19:$C$30)-18&lt;$U96)*J$19:J$30*$T$19:$T$30)+$V96*_xlpm.w,IF(OR(_xlpm.n="",_xlpm.n=0,_xlpm.tot=0,_xlpm.w=0),0,ROUND(_xlpm.cum/_xlpm.tot*_xlpm.n,0)-ROUND((_xlpm.cum-_xlpm.w)/_xlpm.tot*_xlpm.n,0)))</f>
        <v>0</v>
      </c>
      <c r="K96" s="691" cm="1">
        <f t="array" aca="1" ref="K96" ca="1">_xlfn.LET(_xlpm.w,INDEX(K$19:K$30,$U96),_xlpm.tot,SUMPRODUCT(K$19:K$30,$T$19:$T$30),_xlpm.n,K$14,_xlpm.cum,SUMPRODUCT((ROW($C$19:$C$30)-18&lt;$U96)*K$19:K$30*$T$19:$T$30)+$V96*_xlpm.w,IF(OR(_xlpm.n="",_xlpm.n=0,_xlpm.tot=0,_xlpm.w=0),0,ROUND(_xlpm.cum/_xlpm.tot*_xlpm.n,0)-ROUND((_xlpm.cum-_xlpm.w)/_xlpm.tot*_xlpm.n,0)))</f>
        <v>0</v>
      </c>
      <c r="L96" s="691" cm="1">
        <f t="array" aca="1" ref="L96" ca="1">_xlfn.LET(_xlpm.w,INDEX(L$19:L$30,$U96),_xlpm.tot,SUMPRODUCT(L$19:L$30,$T$19:$T$30),_xlpm.n,L$14,_xlpm.cum,SUMPRODUCT((ROW($C$19:$C$30)-18&lt;$U96)*L$19:L$30*$T$19:$T$30)+$V96*_xlpm.w,IF(OR(_xlpm.n="",_xlpm.n=0,_xlpm.tot=0,_xlpm.w=0),0,ROUND(_xlpm.cum/_xlpm.tot*_xlpm.n,0)-ROUND((_xlpm.cum-_xlpm.w)/_xlpm.tot*_xlpm.n,0)))</f>
        <v>0</v>
      </c>
      <c r="M96" s="691" cm="1">
        <f t="array" aca="1" ref="M96" ca="1">_xlfn.LET(_xlpm.w,INDEX(M$19:M$30,$U96),_xlpm.tot,SUMPRODUCT(M$19:M$30,$T$19:$T$30),_xlpm.n,M$14,_xlpm.cum,SUMPRODUCT((ROW($C$19:$C$30)-18&lt;$U96)*M$19:M$30*$T$19:$T$30)+$V96*_xlpm.w,IF(OR(_xlpm.n="",_xlpm.n=0,_xlpm.tot=0,_xlpm.w=0),0,ROUND(_xlpm.cum/_xlpm.tot*_xlpm.n,0)-ROUND((_xlpm.cum-_xlpm.w)/_xlpm.tot*_xlpm.n,0)))</f>
        <v>0</v>
      </c>
      <c r="N96" s="691" cm="1">
        <f t="array" aca="1" ref="N96" ca="1">_xlfn.LET(_xlpm.w,INDEX(N$19:N$30,$U96),_xlpm.tot,SUMPRODUCT(N$19:N$30,$T$19:$T$30),_xlpm.n,N$14,_xlpm.cum,SUMPRODUCT((ROW($C$19:$C$30)-18&lt;$U96)*N$19:N$30*$T$19:$T$30)+$V96*_xlpm.w,IF(OR(_xlpm.n="",_xlpm.n=0,_xlpm.tot=0,_xlpm.w=0),0,ROUND(_xlpm.cum/_xlpm.tot*_xlpm.n,0)-ROUND((_xlpm.cum-_xlpm.w)/_xlpm.tot*_xlpm.n,0)))</f>
        <v>0</v>
      </c>
      <c r="O96" s="691" cm="1">
        <f t="array" aca="1" ref="O96" ca="1">_xlfn.LET(_xlpm.w,INDEX(O$19:O$30,$U96),_xlpm.tot,SUMPRODUCT(O$19:O$30,$T$19:$T$30),_xlpm.n,O$14,_xlpm.cum,SUMPRODUCT((ROW($C$19:$C$30)-18&lt;$U96)*O$19:O$30*$T$19:$T$30)+$V96*_xlpm.w,IF(OR(_xlpm.n="",_xlpm.n=0,_xlpm.tot=0,_xlpm.w=0),0,ROUND(_xlpm.cum/_xlpm.tot*_xlpm.n,0)-ROUND((_xlpm.cum-_xlpm.w)/_xlpm.tot*_xlpm.n,0)))</f>
        <v>0</v>
      </c>
      <c r="P96" s="691" cm="1">
        <f t="array" aca="1" ref="P96" ca="1">_xlfn.LET(_xlpm.w,INDEX(P$19:P$30,$U96),_xlpm.tot,SUMPRODUCT(P$19:P$30,$T$19:$T$30),_xlpm.n,P$14,_xlpm.cum,SUMPRODUCT((ROW($C$19:$C$30)-18&lt;$U96)*P$19:P$30*$T$19:$T$30)+$V96*_xlpm.w,IF(OR(_xlpm.n="",_xlpm.n=0,_xlpm.tot=0,_xlpm.w=0),0,ROUND(_xlpm.cum/_xlpm.tot*_xlpm.n,0)-ROUND((_xlpm.cum-_xlpm.w)/_xlpm.tot*_xlpm.n,0)))</f>
        <v>0</v>
      </c>
      <c r="Q96" s="691" cm="1">
        <f t="array" aca="1" ref="Q96" ca="1">_xlfn.LET(_xlpm.w,INDEX(Q$19:Q$30,$U96),_xlpm.tot,SUMPRODUCT(Q$19:Q$30,$T$19:$T$30),_xlpm.n,Q$14,_xlpm.cum,SUMPRODUCT((ROW($C$19:$C$30)-18&lt;$U96)*Q$19:Q$30*$T$19:$T$30)+$V96*_xlpm.w,IF(OR(_xlpm.n="",_xlpm.n=0,_xlpm.tot=0,_xlpm.w=0),0,ROUND(_xlpm.cum/_xlpm.tot*_xlpm.n,0)-ROUND((_xlpm.cum-_xlpm.w)/_xlpm.tot*_xlpm.n,0)))</f>
        <v>0</v>
      </c>
      <c r="R96" s="691" cm="1">
        <f t="array" aca="1" ref="R96" ca="1">_xlfn.LET(_xlpm.w,INDEX(R$19:R$30,$U96),_xlpm.tot,SUMPRODUCT(R$19:R$30,$T$19:$T$30),_xlpm.n,R$14,_xlpm.cum,SUMPRODUCT((ROW($C$19:$C$30)-18&lt;$U96)*R$19:R$30*$T$19:$T$30)+$V96*_xlpm.w,IF(OR(_xlpm.n="",_xlpm.n=0,_xlpm.tot=0,_xlpm.w=0),0,ROUND(_xlpm.cum/_xlpm.tot*_xlpm.n,0)-ROUND((_xlpm.cum-_xlpm.w)/_xlpm.tot*_xlpm.n,0)))</f>
        <v>0</v>
      </c>
      <c r="S96" s="692">
        <f t="shared" ca="1" si="16"/>
        <v>2</v>
      </c>
      <c r="T96" s="693">
        <f t="shared" ca="1" si="17"/>
        <v>46303</v>
      </c>
      <c r="U96" s="694">
        <f t="shared" ca="1" si="18"/>
        <v>10</v>
      </c>
      <c r="V96" s="694">
        <f ca="1">COUNTIFS($U$56:$U96,$U96)</f>
        <v>2</v>
      </c>
      <c r="W96" s="695">
        <f t="shared" ca="1" si="19"/>
        <v>9.6</v>
      </c>
      <c r="X96" s="696" cm="1">
        <f t="array" aca="1" ref="X96" ca="1">INDEX($U$19:$U$30,$U96)</f>
        <v>20</v>
      </c>
      <c r="Y96" s="697">
        <f t="shared" ca="1" si="20"/>
        <v>0.48</v>
      </c>
      <c r="Z96" s="698" t="str">
        <f t="shared" ca="1" si="21"/>
        <v>OK</v>
      </c>
    </row>
    <row r="97" spans="1:26" ht="13.95" customHeight="1">
      <c r="A97" s="689">
        <f t="shared" si="22"/>
        <v>42</v>
      </c>
      <c r="B97" s="690" t="str" cm="1">
        <f t="array" aca="1" ref="B97" ca="1">INDEX($B$19:$B$30,$U97)</f>
        <v>OCTOBRE</v>
      </c>
      <c r="C97" s="691" cm="1">
        <f t="array" aca="1" ref="C97" ca="1">_xlfn.LET(_xlpm.w,INDEX(C$19:C$30,$U97),_xlpm.tot,SUMPRODUCT(C$19:C$30,$T$19:$T$30),_xlpm.n,C$14,_xlpm.cum,SUMPRODUCT((ROW($C$19:$C$30)-18&lt;$U97)*C$19:C$30*$T$19:$T$30)+$V97*_xlpm.w,IF(OR(_xlpm.n="",_xlpm.n=0,_xlpm.tot=0,_xlpm.w=0),0,ROUND(_xlpm.cum/_xlpm.tot*_xlpm.n,0)-ROUND((_xlpm.cum-_xlpm.w)/_xlpm.tot*_xlpm.n,0)))</f>
        <v>1</v>
      </c>
      <c r="D97" s="691" cm="1">
        <f t="array" aca="1" ref="D97" ca="1">_xlfn.LET(_xlpm.w,INDEX(D$19:D$30,$U97),_xlpm.tot,SUMPRODUCT(D$19:D$30,$T$19:$T$30),_xlpm.n,D$14,_xlpm.cum,SUMPRODUCT((ROW($C$19:$C$30)-18&lt;$U97)*D$19:D$30*$T$19:$T$30)+$V97*_xlpm.w,IF(OR(_xlpm.n="",_xlpm.n=0,_xlpm.tot=0,_xlpm.w=0),0,ROUND(_xlpm.cum/_xlpm.tot*_xlpm.n,0)-ROUND((_xlpm.cum-_xlpm.w)/_xlpm.tot*_xlpm.n,0)))</f>
        <v>0</v>
      </c>
      <c r="E97" s="691" cm="1">
        <f t="array" aca="1" ref="E97" ca="1">_xlfn.LET(_xlpm.w,INDEX(E$19:E$30,$U97),_xlpm.tot,SUMPRODUCT(E$19:E$30,$T$19:$T$30),_xlpm.n,E$14,_xlpm.cum,SUMPRODUCT((ROW($C$19:$C$30)-18&lt;$U97)*E$19:E$30*$T$19:$T$30)+$V97*_xlpm.w,IF(OR(_xlpm.n="",_xlpm.n=0,_xlpm.tot=0,_xlpm.w=0),0,ROUND(_xlpm.cum/_xlpm.tot*_xlpm.n,0)-ROUND((_xlpm.cum-_xlpm.w)/_xlpm.tot*_xlpm.n,0)))</f>
        <v>1</v>
      </c>
      <c r="F97" s="691" cm="1">
        <f t="array" aca="1" ref="F97" ca="1">_xlfn.LET(_xlpm.w,INDEX(F$19:F$30,$U97),_xlpm.tot,SUMPRODUCT(F$19:F$30,$T$19:$T$30),_xlpm.n,F$14,_xlpm.cum,SUMPRODUCT((ROW($C$19:$C$30)-18&lt;$U97)*F$19:F$30*$T$19:$T$30)+$V97*_xlpm.w,IF(OR(_xlpm.n="",_xlpm.n=0,_xlpm.tot=0,_xlpm.w=0),0,ROUND(_xlpm.cum/_xlpm.tot*_xlpm.n,0)-ROUND((_xlpm.cum-_xlpm.w)/_xlpm.tot*_xlpm.n,0)))</f>
        <v>1</v>
      </c>
      <c r="G97" s="691" cm="1">
        <f t="array" aca="1" ref="G97" ca="1">_xlfn.LET(_xlpm.w,INDEX(G$19:G$30,$U97),_xlpm.tot,SUMPRODUCT(G$19:G$30,$T$19:$T$30),_xlpm.n,G$14,_xlpm.cum,SUMPRODUCT((ROW($C$19:$C$30)-18&lt;$U97)*G$19:G$30*$T$19:$T$30)+$V97*_xlpm.w,IF(OR(_xlpm.n="",_xlpm.n=0,_xlpm.tot=0,_xlpm.w=0),0,ROUND(_xlpm.cum/_xlpm.tot*_xlpm.n,0)-ROUND((_xlpm.cum-_xlpm.w)/_xlpm.tot*_xlpm.n,0)))</f>
        <v>0</v>
      </c>
      <c r="H97" s="691" cm="1">
        <f t="array" aca="1" ref="H97" ca="1">_xlfn.LET(_xlpm.w,INDEX(H$19:H$30,$U97),_xlpm.tot,SUMPRODUCT(H$19:H$30,$T$19:$T$30),_xlpm.n,H$14,_xlpm.cum,SUMPRODUCT((ROW($C$19:$C$30)-18&lt;$U97)*H$19:H$30*$T$19:$T$30)+$V97*_xlpm.w,IF(OR(_xlpm.n="",_xlpm.n=0,_xlpm.tot=0,_xlpm.w=0),0,ROUND(_xlpm.cum/_xlpm.tot*_xlpm.n,0)-ROUND((_xlpm.cum-_xlpm.w)/_xlpm.tot*_xlpm.n,0)))</f>
        <v>0</v>
      </c>
      <c r="I97" s="691" cm="1">
        <f t="array" aca="1" ref="I97" ca="1">_xlfn.LET(_xlpm.w,INDEX(I$19:I$30,$U97),_xlpm.tot,SUMPRODUCT(I$19:I$30,$T$19:$T$30),_xlpm.n,I$14,_xlpm.cum,SUMPRODUCT((ROW($C$19:$C$30)-18&lt;$U97)*I$19:I$30*$T$19:$T$30)+$V97*_xlpm.w,IF(OR(_xlpm.n="",_xlpm.n=0,_xlpm.tot=0,_xlpm.w=0),0,ROUND(_xlpm.cum/_xlpm.tot*_xlpm.n,0)-ROUND((_xlpm.cum-_xlpm.w)/_xlpm.tot*_xlpm.n,0)))</f>
        <v>0</v>
      </c>
      <c r="J97" s="691" cm="1">
        <f t="array" aca="1" ref="J97" ca="1">_xlfn.LET(_xlpm.w,INDEX(J$19:J$30,$U97),_xlpm.tot,SUMPRODUCT(J$19:J$30,$T$19:$T$30),_xlpm.n,J$14,_xlpm.cum,SUMPRODUCT((ROW($C$19:$C$30)-18&lt;$U97)*J$19:J$30*$T$19:$T$30)+$V97*_xlpm.w,IF(OR(_xlpm.n="",_xlpm.n=0,_xlpm.tot=0,_xlpm.w=0),0,ROUND(_xlpm.cum/_xlpm.tot*_xlpm.n,0)-ROUND((_xlpm.cum-_xlpm.w)/_xlpm.tot*_xlpm.n,0)))</f>
        <v>0</v>
      </c>
      <c r="K97" s="691" cm="1">
        <f t="array" aca="1" ref="K97" ca="1">_xlfn.LET(_xlpm.w,INDEX(K$19:K$30,$U97),_xlpm.tot,SUMPRODUCT(K$19:K$30,$T$19:$T$30),_xlpm.n,K$14,_xlpm.cum,SUMPRODUCT((ROW($C$19:$C$30)-18&lt;$U97)*K$19:K$30*$T$19:$T$30)+$V97*_xlpm.w,IF(OR(_xlpm.n="",_xlpm.n=0,_xlpm.tot=0,_xlpm.w=0),0,ROUND(_xlpm.cum/_xlpm.tot*_xlpm.n,0)-ROUND((_xlpm.cum-_xlpm.w)/_xlpm.tot*_xlpm.n,0)))</f>
        <v>0</v>
      </c>
      <c r="L97" s="691" cm="1">
        <f t="array" aca="1" ref="L97" ca="1">_xlfn.LET(_xlpm.w,INDEX(L$19:L$30,$U97),_xlpm.tot,SUMPRODUCT(L$19:L$30,$T$19:$T$30),_xlpm.n,L$14,_xlpm.cum,SUMPRODUCT((ROW($C$19:$C$30)-18&lt;$U97)*L$19:L$30*$T$19:$T$30)+$V97*_xlpm.w,IF(OR(_xlpm.n="",_xlpm.n=0,_xlpm.tot=0,_xlpm.w=0),0,ROUND(_xlpm.cum/_xlpm.tot*_xlpm.n,0)-ROUND((_xlpm.cum-_xlpm.w)/_xlpm.tot*_xlpm.n,0)))</f>
        <v>0</v>
      </c>
      <c r="M97" s="691" cm="1">
        <f t="array" aca="1" ref="M97" ca="1">_xlfn.LET(_xlpm.w,INDEX(M$19:M$30,$U97),_xlpm.tot,SUMPRODUCT(M$19:M$30,$T$19:$T$30),_xlpm.n,M$14,_xlpm.cum,SUMPRODUCT((ROW($C$19:$C$30)-18&lt;$U97)*M$19:M$30*$T$19:$T$30)+$V97*_xlpm.w,IF(OR(_xlpm.n="",_xlpm.n=0,_xlpm.tot=0,_xlpm.w=0),0,ROUND(_xlpm.cum/_xlpm.tot*_xlpm.n,0)-ROUND((_xlpm.cum-_xlpm.w)/_xlpm.tot*_xlpm.n,0)))</f>
        <v>0</v>
      </c>
      <c r="N97" s="691" cm="1">
        <f t="array" aca="1" ref="N97" ca="1">_xlfn.LET(_xlpm.w,INDEX(N$19:N$30,$U97),_xlpm.tot,SUMPRODUCT(N$19:N$30,$T$19:$T$30),_xlpm.n,N$14,_xlpm.cum,SUMPRODUCT((ROW($C$19:$C$30)-18&lt;$U97)*N$19:N$30*$T$19:$T$30)+$V97*_xlpm.w,IF(OR(_xlpm.n="",_xlpm.n=0,_xlpm.tot=0,_xlpm.w=0),0,ROUND(_xlpm.cum/_xlpm.tot*_xlpm.n,0)-ROUND((_xlpm.cum-_xlpm.w)/_xlpm.tot*_xlpm.n,0)))</f>
        <v>0</v>
      </c>
      <c r="O97" s="691" cm="1">
        <f t="array" aca="1" ref="O97" ca="1">_xlfn.LET(_xlpm.w,INDEX(O$19:O$30,$U97),_xlpm.tot,SUMPRODUCT(O$19:O$30,$T$19:$T$30),_xlpm.n,O$14,_xlpm.cum,SUMPRODUCT((ROW($C$19:$C$30)-18&lt;$U97)*O$19:O$30*$T$19:$T$30)+$V97*_xlpm.w,IF(OR(_xlpm.n="",_xlpm.n=0,_xlpm.tot=0,_xlpm.w=0),0,ROUND(_xlpm.cum/_xlpm.tot*_xlpm.n,0)-ROUND((_xlpm.cum-_xlpm.w)/_xlpm.tot*_xlpm.n,0)))</f>
        <v>0</v>
      </c>
      <c r="P97" s="691" cm="1">
        <f t="array" aca="1" ref="P97" ca="1">_xlfn.LET(_xlpm.w,INDEX(P$19:P$30,$U97),_xlpm.tot,SUMPRODUCT(P$19:P$30,$T$19:$T$30),_xlpm.n,P$14,_xlpm.cum,SUMPRODUCT((ROW($C$19:$C$30)-18&lt;$U97)*P$19:P$30*$T$19:$T$30)+$V97*_xlpm.w,IF(OR(_xlpm.n="",_xlpm.n=0,_xlpm.tot=0,_xlpm.w=0),0,ROUND(_xlpm.cum/_xlpm.tot*_xlpm.n,0)-ROUND((_xlpm.cum-_xlpm.w)/_xlpm.tot*_xlpm.n,0)))</f>
        <v>0</v>
      </c>
      <c r="Q97" s="691" cm="1">
        <f t="array" aca="1" ref="Q97" ca="1">_xlfn.LET(_xlpm.w,INDEX(Q$19:Q$30,$U97),_xlpm.tot,SUMPRODUCT(Q$19:Q$30,$T$19:$T$30),_xlpm.n,Q$14,_xlpm.cum,SUMPRODUCT((ROW($C$19:$C$30)-18&lt;$U97)*Q$19:Q$30*$T$19:$T$30)+$V97*_xlpm.w,IF(OR(_xlpm.n="",_xlpm.n=0,_xlpm.tot=0,_xlpm.w=0),0,ROUND(_xlpm.cum/_xlpm.tot*_xlpm.n,0)-ROUND((_xlpm.cum-_xlpm.w)/_xlpm.tot*_xlpm.n,0)))</f>
        <v>0</v>
      </c>
      <c r="R97" s="691" cm="1">
        <f t="array" aca="1" ref="R97" ca="1">_xlfn.LET(_xlpm.w,INDEX(R$19:R$30,$U97),_xlpm.tot,SUMPRODUCT(R$19:R$30,$T$19:$T$30),_xlpm.n,R$14,_xlpm.cum,SUMPRODUCT((ROW($C$19:$C$30)-18&lt;$U97)*R$19:R$30*$T$19:$T$30)+$V97*_xlpm.w,IF(OR(_xlpm.n="",_xlpm.n=0,_xlpm.tot=0,_xlpm.w=0),0,ROUND(_xlpm.cum/_xlpm.tot*_xlpm.n,0)-ROUND((_xlpm.cum-_xlpm.w)/_xlpm.tot*_xlpm.n,0)))</f>
        <v>0</v>
      </c>
      <c r="S97" s="692">
        <f t="shared" ca="1" si="16"/>
        <v>3</v>
      </c>
      <c r="T97" s="693">
        <f t="shared" ca="1" si="17"/>
        <v>46310</v>
      </c>
      <c r="U97" s="694">
        <f t="shared" ca="1" si="18"/>
        <v>10</v>
      </c>
      <c r="V97" s="694">
        <f ca="1">COUNTIFS($U$56:$U97,$U97)</f>
        <v>3</v>
      </c>
      <c r="W97" s="695">
        <f t="shared" ca="1" si="19"/>
        <v>14.4</v>
      </c>
      <c r="X97" s="696" cm="1">
        <f t="array" aca="1" ref="X97" ca="1">INDEX($U$19:$U$30,$U97)</f>
        <v>20</v>
      </c>
      <c r="Y97" s="697">
        <f t="shared" ca="1" si="20"/>
        <v>0.72</v>
      </c>
      <c r="Z97" s="698" t="str">
        <f t="shared" ca="1" si="21"/>
        <v>OK</v>
      </c>
    </row>
    <row r="98" spans="1:26" ht="13.95" customHeight="1">
      <c r="A98" s="689">
        <f t="shared" si="22"/>
        <v>43</v>
      </c>
      <c r="B98" s="690" t="str" cm="1">
        <f t="array" aca="1" ref="B98" ca="1">INDEX($B$19:$B$30,$U98)</f>
        <v>OCTOBRE</v>
      </c>
      <c r="C98" s="691" cm="1">
        <f t="array" aca="1" ref="C98" ca="1">_xlfn.LET(_xlpm.w,INDEX(C$19:C$30,$U98),_xlpm.tot,SUMPRODUCT(C$19:C$30,$T$19:$T$30),_xlpm.n,C$14,_xlpm.cum,SUMPRODUCT((ROW($C$19:$C$30)-18&lt;$U98)*C$19:C$30*$T$19:$T$30)+$V98*_xlpm.w,IF(OR(_xlpm.n="",_xlpm.n=0,_xlpm.tot=0,_xlpm.w=0),0,ROUND(_xlpm.cum/_xlpm.tot*_xlpm.n,0)-ROUND((_xlpm.cum-_xlpm.w)/_xlpm.tot*_xlpm.n,0)))</f>
        <v>0</v>
      </c>
      <c r="D98" s="691" cm="1">
        <f t="array" aca="1" ref="D98" ca="1">_xlfn.LET(_xlpm.w,INDEX(D$19:D$30,$U98),_xlpm.tot,SUMPRODUCT(D$19:D$30,$T$19:$T$30),_xlpm.n,D$14,_xlpm.cum,SUMPRODUCT((ROW($C$19:$C$30)-18&lt;$U98)*D$19:D$30*$T$19:$T$30)+$V98*_xlpm.w,IF(OR(_xlpm.n="",_xlpm.n=0,_xlpm.tot=0,_xlpm.w=0),0,ROUND(_xlpm.cum/_xlpm.tot*_xlpm.n,0)-ROUND((_xlpm.cum-_xlpm.w)/_xlpm.tot*_xlpm.n,0)))</f>
        <v>0</v>
      </c>
      <c r="E98" s="691" cm="1">
        <f t="array" aca="1" ref="E98" ca="1">_xlfn.LET(_xlpm.w,INDEX(E$19:E$30,$U98),_xlpm.tot,SUMPRODUCT(E$19:E$30,$T$19:$T$30),_xlpm.n,E$14,_xlpm.cum,SUMPRODUCT((ROW($C$19:$C$30)-18&lt;$U98)*E$19:E$30*$T$19:$T$30)+$V98*_xlpm.w,IF(OR(_xlpm.n="",_xlpm.n=0,_xlpm.tot=0,_xlpm.w=0),0,ROUND(_xlpm.cum/_xlpm.tot*_xlpm.n,0)-ROUND((_xlpm.cum-_xlpm.w)/_xlpm.tot*_xlpm.n,0)))</f>
        <v>1</v>
      </c>
      <c r="F98" s="691" cm="1">
        <f t="array" aca="1" ref="F98" ca="1">_xlfn.LET(_xlpm.w,INDEX(F$19:F$30,$U98),_xlpm.tot,SUMPRODUCT(F$19:F$30,$T$19:$T$30),_xlpm.n,F$14,_xlpm.cum,SUMPRODUCT((ROW($C$19:$C$30)-18&lt;$U98)*F$19:F$30*$T$19:$T$30)+$V98*_xlpm.w,IF(OR(_xlpm.n="",_xlpm.n=0,_xlpm.tot=0,_xlpm.w=0),0,ROUND(_xlpm.cum/_xlpm.tot*_xlpm.n,0)-ROUND((_xlpm.cum-_xlpm.w)/_xlpm.tot*_xlpm.n,0)))</f>
        <v>0</v>
      </c>
      <c r="G98" s="691" cm="1">
        <f t="array" aca="1" ref="G98" ca="1">_xlfn.LET(_xlpm.w,INDEX(G$19:G$30,$U98),_xlpm.tot,SUMPRODUCT(G$19:G$30,$T$19:$T$30),_xlpm.n,G$14,_xlpm.cum,SUMPRODUCT((ROW($C$19:$C$30)-18&lt;$U98)*G$19:G$30*$T$19:$T$30)+$V98*_xlpm.w,IF(OR(_xlpm.n="",_xlpm.n=0,_xlpm.tot=0,_xlpm.w=0),0,ROUND(_xlpm.cum/_xlpm.tot*_xlpm.n,0)-ROUND((_xlpm.cum-_xlpm.w)/_xlpm.tot*_xlpm.n,0)))</f>
        <v>0</v>
      </c>
      <c r="H98" s="691" cm="1">
        <f t="array" aca="1" ref="H98" ca="1">_xlfn.LET(_xlpm.w,INDEX(H$19:H$30,$U98),_xlpm.tot,SUMPRODUCT(H$19:H$30,$T$19:$T$30),_xlpm.n,H$14,_xlpm.cum,SUMPRODUCT((ROW($C$19:$C$30)-18&lt;$U98)*H$19:H$30*$T$19:$T$30)+$V98*_xlpm.w,IF(OR(_xlpm.n="",_xlpm.n=0,_xlpm.tot=0,_xlpm.w=0),0,ROUND(_xlpm.cum/_xlpm.tot*_xlpm.n,0)-ROUND((_xlpm.cum-_xlpm.w)/_xlpm.tot*_xlpm.n,0)))</f>
        <v>0</v>
      </c>
      <c r="I98" s="691" cm="1">
        <f t="array" aca="1" ref="I98" ca="1">_xlfn.LET(_xlpm.w,INDEX(I$19:I$30,$U98),_xlpm.tot,SUMPRODUCT(I$19:I$30,$T$19:$T$30),_xlpm.n,I$14,_xlpm.cum,SUMPRODUCT((ROW($C$19:$C$30)-18&lt;$U98)*I$19:I$30*$T$19:$T$30)+$V98*_xlpm.w,IF(OR(_xlpm.n="",_xlpm.n=0,_xlpm.tot=0,_xlpm.w=0),0,ROUND(_xlpm.cum/_xlpm.tot*_xlpm.n,0)-ROUND((_xlpm.cum-_xlpm.w)/_xlpm.tot*_xlpm.n,0)))</f>
        <v>0</v>
      </c>
      <c r="J98" s="691" cm="1">
        <f t="array" aca="1" ref="J98" ca="1">_xlfn.LET(_xlpm.w,INDEX(J$19:J$30,$U98),_xlpm.tot,SUMPRODUCT(J$19:J$30,$T$19:$T$30),_xlpm.n,J$14,_xlpm.cum,SUMPRODUCT((ROW($C$19:$C$30)-18&lt;$U98)*J$19:J$30*$T$19:$T$30)+$V98*_xlpm.w,IF(OR(_xlpm.n="",_xlpm.n=0,_xlpm.tot=0,_xlpm.w=0),0,ROUND(_xlpm.cum/_xlpm.tot*_xlpm.n,0)-ROUND((_xlpm.cum-_xlpm.w)/_xlpm.tot*_xlpm.n,0)))</f>
        <v>0</v>
      </c>
      <c r="K98" s="691" cm="1">
        <f t="array" aca="1" ref="K98" ca="1">_xlfn.LET(_xlpm.w,INDEX(K$19:K$30,$U98),_xlpm.tot,SUMPRODUCT(K$19:K$30,$T$19:$T$30),_xlpm.n,K$14,_xlpm.cum,SUMPRODUCT((ROW($C$19:$C$30)-18&lt;$U98)*K$19:K$30*$T$19:$T$30)+$V98*_xlpm.w,IF(OR(_xlpm.n="",_xlpm.n=0,_xlpm.tot=0,_xlpm.w=0),0,ROUND(_xlpm.cum/_xlpm.tot*_xlpm.n,0)-ROUND((_xlpm.cum-_xlpm.w)/_xlpm.tot*_xlpm.n,0)))</f>
        <v>0</v>
      </c>
      <c r="L98" s="691" cm="1">
        <f t="array" aca="1" ref="L98" ca="1">_xlfn.LET(_xlpm.w,INDEX(L$19:L$30,$U98),_xlpm.tot,SUMPRODUCT(L$19:L$30,$T$19:$T$30),_xlpm.n,L$14,_xlpm.cum,SUMPRODUCT((ROW($C$19:$C$30)-18&lt;$U98)*L$19:L$30*$T$19:$T$30)+$V98*_xlpm.w,IF(OR(_xlpm.n="",_xlpm.n=0,_xlpm.tot=0,_xlpm.w=0),0,ROUND(_xlpm.cum/_xlpm.tot*_xlpm.n,0)-ROUND((_xlpm.cum-_xlpm.w)/_xlpm.tot*_xlpm.n,0)))</f>
        <v>0</v>
      </c>
      <c r="M98" s="691" cm="1">
        <f t="array" aca="1" ref="M98" ca="1">_xlfn.LET(_xlpm.w,INDEX(M$19:M$30,$U98),_xlpm.tot,SUMPRODUCT(M$19:M$30,$T$19:$T$30),_xlpm.n,M$14,_xlpm.cum,SUMPRODUCT((ROW($C$19:$C$30)-18&lt;$U98)*M$19:M$30*$T$19:$T$30)+$V98*_xlpm.w,IF(OR(_xlpm.n="",_xlpm.n=0,_xlpm.tot=0,_xlpm.w=0),0,ROUND(_xlpm.cum/_xlpm.tot*_xlpm.n,0)-ROUND((_xlpm.cum-_xlpm.w)/_xlpm.tot*_xlpm.n,0)))</f>
        <v>0</v>
      </c>
      <c r="N98" s="691" cm="1">
        <f t="array" aca="1" ref="N98" ca="1">_xlfn.LET(_xlpm.w,INDEX(N$19:N$30,$U98),_xlpm.tot,SUMPRODUCT(N$19:N$30,$T$19:$T$30),_xlpm.n,N$14,_xlpm.cum,SUMPRODUCT((ROW($C$19:$C$30)-18&lt;$U98)*N$19:N$30*$T$19:$T$30)+$V98*_xlpm.w,IF(OR(_xlpm.n="",_xlpm.n=0,_xlpm.tot=0,_xlpm.w=0),0,ROUND(_xlpm.cum/_xlpm.tot*_xlpm.n,0)-ROUND((_xlpm.cum-_xlpm.w)/_xlpm.tot*_xlpm.n,0)))</f>
        <v>0</v>
      </c>
      <c r="O98" s="691" cm="1">
        <f t="array" aca="1" ref="O98" ca="1">_xlfn.LET(_xlpm.w,INDEX(O$19:O$30,$U98),_xlpm.tot,SUMPRODUCT(O$19:O$30,$T$19:$T$30),_xlpm.n,O$14,_xlpm.cum,SUMPRODUCT((ROW($C$19:$C$30)-18&lt;$U98)*O$19:O$30*$T$19:$T$30)+$V98*_xlpm.w,IF(OR(_xlpm.n="",_xlpm.n=0,_xlpm.tot=0,_xlpm.w=0),0,ROUND(_xlpm.cum/_xlpm.tot*_xlpm.n,0)-ROUND((_xlpm.cum-_xlpm.w)/_xlpm.tot*_xlpm.n,0)))</f>
        <v>0</v>
      </c>
      <c r="P98" s="691" cm="1">
        <f t="array" aca="1" ref="P98" ca="1">_xlfn.LET(_xlpm.w,INDEX(P$19:P$30,$U98),_xlpm.tot,SUMPRODUCT(P$19:P$30,$T$19:$T$30),_xlpm.n,P$14,_xlpm.cum,SUMPRODUCT((ROW($C$19:$C$30)-18&lt;$U98)*P$19:P$30*$T$19:$T$30)+$V98*_xlpm.w,IF(OR(_xlpm.n="",_xlpm.n=0,_xlpm.tot=0,_xlpm.w=0),0,ROUND(_xlpm.cum/_xlpm.tot*_xlpm.n,0)-ROUND((_xlpm.cum-_xlpm.w)/_xlpm.tot*_xlpm.n,0)))</f>
        <v>0</v>
      </c>
      <c r="Q98" s="691" cm="1">
        <f t="array" aca="1" ref="Q98" ca="1">_xlfn.LET(_xlpm.w,INDEX(Q$19:Q$30,$U98),_xlpm.tot,SUMPRODUCT(Q$19:Q$30,$T$19:$T$30),_xlpm.n,Q$14,_xlpm.cum,SUMPRODUCT((ROW($C$19:$C$30)-18&lt;$U98)*Q$19:Q$30*$T$19:$T$30)+$V98*_xlpm.w,IF(OR(_xlpm.n="",_xlpm.n=0,_xlpm.tot=0,_xlpm.w=0),0,ROUND(_xlpm.cum/_xlpm.tot*_xlpm.n,0)-ROUND((_xlpm.cum-_xlpm.w)/_xlpm.tot*_xlpm.n,0)))</f>
        <v>0</v>
      </c>
      <c r="R98" s="691" cm="1">
        <f t="array" aca="1" ref="R98" ca="1">_xlfn.LET(_xlpm.w,INDEX(R$19:R$30,$U98),_xlpm.tot,SUMPRODUCT(R$19:R$30,$T$19:$T$30),_xlpm.n,R$14,_xlpm.cum,SUMPRODUCT((ROW($C$19:$C$30)-18&lt;$U98)*R$19:R$30*$T$19:$T$30)+$V98*_xlpm.w,IF(OR(_xlpm.n="",_xlpm.n=0,_xlpm.tot=0,_xlpm.w=0),0,ROUND(_xlpm.cum/_xlpm.tot*_xlpm.n,0)-ROUND((_xlpm.cum-_xlpm.w)/_xlpm.tot*_xlpm.n,0)))</f>
        <v>0</v>
      </c>
      <c r="S98" s="692">
        <f t="shared" ca="1" si="16"/>
        <v>1</v>
      </c>
      <c r="T98" s="693">
        <f t="shared" ca="1" si="17"/>
        <v>46317</v>
      </c>
      <c r="U98" s="694">
        <f t="shared" ca="1" si="18"/>
        <v>10</v>
      </c>
      <c r="V98" s="694">
        <f ca="1">COUNTIFS($U$56:$U98,$U98)</f>
        <v>4</v>
      </c>
      <c r="W98" s="695">
        <f t="shared" ca="1" si="19"/>
        <v>4.8</v>
      </c>
      <c r="X98" s="696" cm="1">
        <f t="array" aca="1" ref="X98" ca="1">INDEX($U$19:$U$30,$U98)</f>
        <v>20</v>
      </c>
      <c r="Y98" s="697">
        <f t="shared" ca="1" si="20"/>
        <v>0.24</v>
      </c>
      <c r="Z98" s="698" t="str">
        <f t="shared" ca="1" si="21"/>
        <v>OK</v>
      </c>
    </row>
    <row r="99" spans="1:26" ht="13.95" customHeight="1">
      <c r="A99" s="689">
        <f t="shared" si="22"/>
        <v>44</v>
      </c>
      <c r="B99" s="690" t="str" cm="1">
        <f t="array" aca="1" ref="B99" ca="1">INDEX($B$19:$B$30,$U99)</f>
        <v>NOVEMBRE</v>
      </c>
      <c r="C99" s="691" cm="1">
        <f t="array" aca="1" ref="C99" ca="1">_xlfn.LET(_xlpm.w,INDEX(C$19:C$30,$U99),_xlpm.tot,SUMPRODUCT(C$19:C$30,$T$19:$T$30),_xlpm.n,C$14,_xlpm.cum,SUMPRODUCT((ROW($C$19:$C$30)-18&lt;$U99)*C$19:C$30*$T$19:$T$30)+$V99*_xlpm.w,IF(OR(_xlpm.n="",_xlpm.n=0,_xlpm.tot=0,_xlpm.w=0),0,ROUND(_xlpm.cum/_xlpm.tot*_xlpm.n,0)-ROUND((_xlpm.cum-_xlpm.w)/_xlpm.tot*_xlpm.n,0)))</f>
        <v>0</v>
      </c>
      <c r="D99" s="691" cm="1">
        <f t="array" aca="1" ref="D99" ca="1">_xlfn.LET(_xlpm.w,INDEX(D$19:D$30,$U99),_xlpm.tot,SUMPRODUCT(D$19:D$30,$T$19:$T$30),_xlpm.n,D$14,_xlpm.cum,SUMPRODUCT((ROW($C$19:$C$30)-18&lt;$U99)*D$19:D$30*$T$19:$T$30)+$V99*_xlpm.w,IF(OR(_xlpm.n="",_xlpm.n=0,_xlpm.tot=0,_xlpm.w=0),0,ROUND(_xlpm.cum/_xlpm.tot*_xlpm.n,0)-ROUND((_xlpm.cum-_xlpm.w)/_xlpm.tot*_xlpm.n,0)))</f>
        <v>1</v>
      </c>
      <c r="E99" s="691" cm="1">
        <f t="array" aca="1" ref="E99" ca="1">_xlfn.LET(_xlpm.w,INDEX(E$19:E$30,$U99),_xlpm.tot,SUMPRODUCT(E$19:E$30,$T$19:$T$30),_xlpm.n,E$14,_xlpm.cum,SUMPRODUCT((ROW($C$19:$C$30)-18&lt;$U99)*E$19:E$30*$T$19:$T$30)+$V99*_xlpm.w,IF(OR(_xlpm.n="",_xlpm.n=0,_xlpm.tot=0,_xlpm.w=0),0,ROUND(_xlpm.cum/_xlpm.tot*_xlpm.n,0)-ROUND((_xlpm.cum-_xlpm.w)/_xlpm.tot*_xlpm.n,0)))</f>
        <v>0</v>
      </c>
      <c r="F99" s="691" cm="1">
        <f t="array" aca="1" ref="F99" ca="1">_xlfn.LET(_xlpm.w,INDEX(F$19:F$30,$U99),_xlpm.tot,SUMPRODUCT(F$19:F$30,$T$19:$T$30),_xlpm.n,F$14,_xlpm.cum,SUMPRODUCT((ROW($C$19:$C$30)-18&lt;$U99)*F$19:F$30*$T$19:$T$30)+$V99*_xlpm.w,IF(OR(_xlpm.n="",_xlpm.n=0,_xlpm.tot=0,_xlpm.w=0),0,ROUND(_xlpm.cum/_xlpm.tot*_xlpm.n,0)-ROUND((_xlpm.cum-_xlpm.w)/_xlpm.tot*_xlpm.n,0)))</f>
        <v>1</v>
      </c>
      <c r="G99" s="691" cm="1">
        <f t="array" aca="1" ref="G99" ca="1">_xlfn.LET(_xlpm.w,INDEX(G$19:G$30,$U99),_xlpm.tot,SUMPRODUCT(G$19:G$30,$T$19:$T$30),_xlpm.n,G$14,_xlpm.cum,SUMPRODUCT((ROW($C$19:$C$30)-18&lt;$U99)*G$19:G$30*$T$19:$T$30)+$V99*_xlpm.w,IF(OR(_xlpm.n="",_xlpm.n=0,_xlpm.tot=0,_xlpm.w=0),0,ROUND(_xlpm.cum/_xlpm.tot*_xlpm.n,0)-ROUND((_xlpm.cum-_xlpm.w)/_xlpm.tot*_xlpm.n,0)))</f>
        <v>0</v>
      </c>
      <c r="H99" s="691" cm="1">
        <f t="array" aca="1" ref="H99" ca="1">_xlfn.LET(_xlpm.w,INDEX(H$19:H$30,$U99),_xlpm.tot,SUMPRODUCT(H$19:H$30,$T$19:$T$30),_xlpm.n,H$14,_xlpm.cum,SUMPRODUCT((ROW($C$19:$C$30)-18&lt;$U99)*H$19:H$30*$T$19:$T$30)+$V99*_xlpm.w,IF(OR(_xlpm.n="",_xlpm.n=0,_xlpm.tot=0,_xlpm.w=0),0,ROUND(_xlpm.cum/_xlpm.tot*_xlpm.n,0)-ROUND((_xlpm.cum-_xlpm.w)/_xlpm.tot*_xlpm.n,0)))</f>
        <v>0</v>
      </c>
      <c r="I99" s="691" cm="1">
        <f t="array" aca="1" ref="I99" ca="1">_xlfn.LET(_xlpm.w,INDEX(I$19:I$30,$U99),_xlpm.tot,SUMPRODUCT(I$19:I$30,$T$19:$T$30),_xlpm.n,I$14,_xlpm.cum,SUMPRODUCT((ROW($C$19:$C$30)-18&lt;$U99)*I$19:I$30*$T$19:$T$30)+$V99*_xlpm.w,IF(OR(_xlpm.n="",_xlpm.n=0,_xlpm.tot=0,_xlpm.w=0),0,ROUND(_xlpm.cum/_xlpm.tot*_xlpm.n,0)-ROUND((_xlpm.cum-_xlpm.w)/_xlpm.tot*_xlpm.n,0)))</f>
        <v>0</v>
      </c>
      <c r="J99" s="691" cm="1">
        <f t="array" aca="1" ref="J99" ca="1">_xlfn.LET(_xlpm.w,INDEX(J$19:J$30,$U99),_xlpm.tot,SUMPRODUCT(J$19:J$30,$T$19:$T$30),_xlpm.n,J$14,_xlpm.cum,SUMPRODUCT((ROW($C$19:$C$30)-18&lt;$U99)*J$19:J$30*$T$19:$T$30)+$V99*_xlpm.w,IF(OR(_xlpm.n="",_xlpm.n=0,_xlpm.tot=0,_xlpm.w=0),0,ROUND(_xlpm.cum/_xlpm.tot*_xlpm.n,0)-ROUND((_xlpm.cum-_xlpm.w)/_xlpm.tot*_xlpm.n,0)))</f>
        <v>0</v>
      </c>
      <c r="K99" s="691" cm="1">
        <f t="array" aca="1" ref="K99" ca="1">_xlfn.LET(_xlpm.w,INDEX(K$19:K$30,$U99),_xlpm.tot,SUMPRODUCT(K$19:K$30,$T$19:$T$30),_xlpm.n,K$14,_xlpm.cum,SUMPRODUCT((ROW($C$19:$C$30)-18&lt;$U99)*K$19:K$30*$T$19:$T$30)+$V99*_xlpm.w,IF(OR(_xlpm.n="",_xlpm.n=0,_xlpm.tot=0,_xlpm.w=0),0,ROUND(_xlpm.cum/_xlpm.tot*_xlpm.n,0)-ROUND((_xlpm.cum-_xlpm.w)/_xlpm.tot*_xlpm.n,0)))</f>
        <v>0</v>
      </c>
      <c r="L99" s="691" cm="1">
        <f t="array" aca="1" ref="L99" ca="1">_xlfn.LET(_xlpm.w,INDEX(L$19:L$30,$U99),_xlpm.tot,SUMPRODUCT(L$19:L$30,$T$19:$T$30),_xlpm.n,L$14,_xlpm.cum,SUMPRODUCT((ROW($C$19:$C$30)-18&lt;$U99)*L$19:L$30*$T$19:$T$30)+$V99*_xlpm.w,IF(OR(_xlpm.n="",_xlpm.n=0,_xlpm.tot=0,_xlpm.w=0),0,ROUND(_xlpm.cum/_xlpm.tot*_xlpm.n,0)-ROUND((_xlpm.cum-_xlpm.w)/_xlpm.tot*_xlpm.n,0)))</f>
        <v>0</v>
      </c>
      <c r="M99" s="691" cm="1">
        <f t="array" aca="1" ref="M99" ca="1">_xlfn.LET(_xlpm.w,INDEX(M$19:M$30,$U99),_xlpm.tot,SUMPRODUCT(M$19:M$30,$T$19:$T$30),_xlpm.n,M$14,_xlpm.cum,SUMPRODUCT((ROW($C$19:$C$30)-18&lt;$U99)*M$19:M$30*$T$19:$T$30)+$V99*_xlpm.w,IF(OR(_xlpm.n="",_xlpm.n=0,_xlpm.tot=0,_xlpm.w=0),0,ROUND(_xlpm.cum/_xlpm.tot*_xlpm.n,0)-ROUND((_xlpm.cum-_xlpm.w)/_xlpm.tot*_xlpm.n,0)))</f>
        <v>0</v>
      </c>
      <c r="N99" s="691" cm="1">
        <f t="array" aca="1" ref="N99" ca="1">_xlfn.LET(_xlpm.w,INDEX(N$19:N$30,$U99),_xlpm.tot,SUMPRODUCT(N$19:N$30,$T$19:$T$30),_xlpm.n,N$14,_xlpm.cum,SUMPRODUCT((ROW($C$19:$C$30)-18&lt;$U99)*N$19:N$30*$T$19:$T$30)+$V99*_xlpm.w,IF(OR(_xlpm.n="",_xlpm.n=0,_xlpm.tot=0,_xlpm.w=0),0,ROUND(_xlpm.cum/_xlpm.tot*_xlpm.n,0)-ROUND((_xlpm.cum-_xlpm.w)/_xlpm.tot*_xlpm.n,0)))</f>
        <v>0</v>
      </c>
      <c r="O99" s="691" cm="1">
        <f t="array" aca="1" ref="O99" ca="1">_xlfn.LET(_xlpm.w,INDEX(O$19:O$30,$U99),_xlpm.tot,SUMPRODUCT(O$19:O$30,$T$19:$T$30),_xlpm.n,O$14,_xlpm.cum,SUMPRODUCT((ROW($C$19:$C$30)-18&lt;$U99)*O$19:O$30*$T$19:$T$30)+$V99*_xlpm.w,IF(OR(_xlpm.n="",_xlpm.n=0,_xlpm.tot=0,_xlpm.w=0),0,ROUND(_xlpm.cum/_xlpm.tot*_xlpm.n,0)-ROUND((_xlpm.cum-_xlpm.w)/_xlpm.tot*_xlpm.n,0)))</f>
        <v>0</v>
      </c>
      <c r="P99" s="691" cm="1">
        <f t="array" aca="1" ref="P99" ca="1">_xlfn.LET(_xlpm.w,INDEX(P$19:P$30,$U99),_xlpm.tot,SUMPRODUCT(P$19:P$30,$T$19:$T$30),_xlpm.n,P$14,_xlpm.cum,SUMPRODUCT((ROW($C$19:$C$30)-18&lt;$U99)*P$19:P$30*$T$19:$T$30)+$V99*_xlpm.w,IF(OR(_xlpm.n="",_xlpm.n=0,_xlpm.tot=0,_xlpm.w=0),0,ROUND(_xlpm.cum/_xlpm.tot*_xlpm.n,0)-ROUND((_xlpm.cum-_xlpm.w)/_xlpm.tot*_xlpm.n,0)))</f>
        <v>0</v>
      </c>
      <c r="Q99" s="691" cm="1">
        <f t="array" aca="1" ref="Q99" ca="1">_xlfn.LET(_xlpm.w,INDEX(Q$19:Q$30,$U99),_xlpm.tot,SUMPRODUCT(Q$19:Q$30,$T$19:$T$30),_xlpm.n,Q$14,_xlpm.cum,SUMPRODUCT((ROW($C$19:$C$30)-18&lt;$U99)*Q$19:Q$30*$T$19:$T$30)+$V99*_xlpm.w,IF(OR(_xlpm.n="",_xlpm.n=0,_xlpm.tot=0,_xlpm.w=0),0,ROUND(_xlpm.cum/_xlpm.tot*_xlpm.n,0)-ROUND((_xlpm.cum-_xlpm.w)/_xlpm.tot*_xlpm.n,0)))</f>
        <v>0</v>
      </c>
      <c r="R99" s="691" cm="1">
        <f t="array" aca="1" ref="R99" ca="1">_xlfn.LET(_xlpm.w,INDEX(R$19:R$30,$U99),_xlpm.tot,SUMPRODUCT(R$19:R$30,$T$19:$T$30),_xlpm.n,R$14,_xlpm.cum,SUMPRODUCT((ROW($C$19:$C$30)-18&lt;$U99)*R$19:R$30*$T$19:$T$30)+$V99*_xlpm.w,IF(OR(_xlpm.n="",_xlpm.n=0,_xlpm.tot=0,_xlpm.w=0),0,ROUND(_xlpm.cum/_xlpm.tot*_xlpm.n,0)-ROUND((_xlpm.cum-_xlpm.w)/_xlpm.tot*_xlpm.n,0)))</f>
        <v>0</v>
      </c>
      <c r="S99" s="692">
        <f t="shared" ca="1" si="16"/>
        <v>2</v>
      </c>
      <c r="T99" s="693">
        <f t="shared" ca="1" si="17"/>
        <v>46324</v>
      </c>
      <c r="U99" s="694">
        <f t="shared" ca="1" si="18"/>
        <v>11</v>
      </c>
      <c r="V99" s="694">
        <f ca="1">COUNTIFS($U$56:$U99,$U99)</f>
        <v>1</v>
      </c>
      <c r="W99" s="695">
        <f t="shared" ca="1" si="19"/>
        <v>9.6</v>
      </c>
      <c r="X99" s="696" cm="1">
        <f t="array" aca="1" ref="X99" ca="1">INDEX($U$19:$U$30,$U99)</f>
        <v>20</v>
      </c>
      <c r="Y99" s="697">
        <f t="shared" ca="1" si="20"/>
        <v>0.48</v>
      </c>
      <c r="Z99" s="698" t="str">
        <f t="shared" ca="1" si="21"/>
        <v>OK</v>
      </c>
    </row>
    <row r="100" spans="1:26" ht="13.95" customHeight="1">
      <c r="A100" s="689">
        <f t="shared" si="22"/>
        <v>45</v>
      </c>
      <c r="B100" s="690" t="str" cm="1">
        <f t="array" aca="1" ref="B100" ca="1">INDEX($B$19:$B$30,$U100)</f>
        <v>NOVEMBRE</v>
      </c>
      <c r="C100" s="691" cm="1">
        <f t="array" aca="1" ref="C100" ca="1">_xlfn.LET(_xlpm.w,INDEX(C$19:C$30,$U100),_xlpm.tot,SUMPRODUCT(C$19:C$30,$T$19:$T$30),_xlpm.n,C$14,_xlpm.cum,SUMPRODUCT((ROW($C$19:$C$30)-18&lt;$U100)*C$19:C$30*$T$19:$T$30)+$V100*_xlpm.w,IF(OR(_xlpm.n="",_xlpm.n=0,_xlpm.tot=0,_xlpm.w=0),0,ROUND(_xlpm.cum/_xlpm.tot*_xlpm.n,0)-ROUND((_xlpm.cum-_xlpm.w)/_xlpm.tot*_xlpm.n,0)))</f>
        <v>0</v>
      </c>
      <c r="D100" s="691" cm="1">
        <f t="array" aca="1" ref="D100" ca="1">_xlfn.LET(_xlpm.w,INDEX(D$19:D$30,$U100),_xlpm.tot,SUMPRODUCT(D$19:D$30,$T$19:$T$30),_xlpm.n,D$14,_xlpm.cum,SUMPRODUCT((ROW($C$19:$C$30)-18&lt;$U100)*D$19:D$30*$T$19:$T$30)+$V100*_xlpm.w,IF(OR(_xlpm.n="",_xlpm.n=0,_xlpm.tot=0,_xlpm.w=0),0,ROUND(_xlpm.cum/_xlpm.tot*_xlpm.n,0)-ROUND((_xlpm.cum-_xlpm.w)/_xlpm.tot*_xlpm.n,0)))</f>
        <v>0</v>
      </c>
      <c r="E100" s="691" cm="1">
        <f t="array" aca="1" ref="E100" ca="1">_xlfn.LET(_xlpm.w,INDEX(E$19:E$30,$U100),_xlpm.tot,SUMPRODUCT(E$19:E$30,$T$19:$T$30),_xlpm.n,E$14,_xlpm.cum,SUMPRODUCT((ROW($C$19:$C$30)-18&lt;$U100)*E$19:E$30*$T$19:$T$30)+$V100*_xlpm.w,IF(OR(_xlpm.n="",_xlpm.n=0,_xlpm.tot=0,_xlpm.w=0),0,ROUND(_xlpm.cum/_xlpm.tot*_xlpm.n,0)-ROUND((_xlpm.cum-_xlpm.w)/_xlpm.tot*_xlpm.n,0)))</f>
        <v>0</v>
      </c>
      <c r="F100" s="691" cm="1">
        <f t="array" aca="1" ref="F100" ca="1">_xlfn.LET(_xlpm.w,INDEX(F$19:F$30,$U100),_xlpm.tot,SUMPRODUCT(F$19:F$30,$T$19:$T$30),_xlpm.n,F$14,_xlpm.cum,SUMPRODUCT((ROW($C$19:$C$30)-18&lt;$U100)*F$19:F$30*$T$19:$T$30)+$V100*_xlpm.w,IF(OR(_xlpm.n="",_xlpm.n=0,_xlpm.tot=0,_xlpm.w=0),0,ROUND(_xlpm.cum/_xlpm.tot*_xlpm.n,0)-ROUND((_xlpm.cum-_xlpm.w)/_xlpm.tot*_xlpm.n,0)))</f>
        <v>1</v>
      </c>
      <c r="G100" s="691" cm="1">
        <f t="array" aca="1" ref="G100" ca="1">_xlfn.LET(_xlpm.w,INDEX(G$19:G$30,$U100),_xlpm.tot,SUMPRODUCT(G$19:G$30,$T$19:$T$30),_xlpm.n,G$14,_xlpm.cum,SUMPRODUCT((ROW($C$19:$C$30)-18&lt;$U100)*G$19:G$30*$T$19:$T$30)+$V100*_xlpm.w,IF(OR(_xlpm.n="",_xlpm.n=0,_xlpm.tot=0,_xlpm.w=0),0,ROUND(_xlpm.cum/_xlpm.tot*_xlpm.n,0)-ROUND((_xlpm.cum-_xlpm.w)/_xlpm.tot*_xlpm.n,0)))</f>
        <v>0</v>
      </c>
      <c r="H100" s="691" cm="1">
        <f t="array" aca="1" ref="H100" ca="1">_xlfn.LET(_xlpm.w,INDEX(H$19:H$30,$U100),_xlpm.tot,SUMPRODUCT(H$19:H$30,$T$19:$T$30),_xlpm.n,H$14,_xlpm.cum,SUMPRODUCT((ROW($C$19:$C$30)-18&lt;$U100)*H$19:H$30*$T$19:$T$30)+$V100*_xlpm.w,IF(OR(_xlpm.n="",_xlpm.n=0,_xlpm.tot=0,_xlpm.w=0),0,ROUND(_xlpm.cum/_xlpm.tot*_xlpm.n,0)-ROUND((_xlpm.cum-_xlpm.w)/_xlpm.tot*_xlpm.n,0)))</f>
        <v>0</v>
      </c>
      <c r="I100" s="691" cm="1">
        <f t="array" aca="1" ref="I100" ca="1">_xlfn.LET(_xlpm.w,INDEX(I$19:I$30,$U100),_xlpm.tot,SUMPRODUCT(I$19:I$30,$T$19:$T$30),_xlpm.n,I$14,_xlpm.cum,SUMPRODUCT((ROW($C$19:$C$30)-18&lt;$U100)*I$19:I$30*$T$19:$T$30)+$V100*_xlpm.w,IF(OR(_xlpm.n="",_xlpm.n=0,_xlpm.tot=0,_xlpm.w=0),0,ROUND(_xlpm.cum/_xlpm.tot*_xlpm.n,0)-ROUND((_xlpm.cum-_xlpm.w)/_xlpm.tot*_xlpm.n,0)))</f>
        <v>0</v>
      </c>
      <c r="J100" s="691" cm="1">
        <f t="array" aca="1" ref="J100" ca="1">_xlfn.LET(_xlpm.w,INDEX(J$19:J$30,$U100),_xlpm.tot,SUMPRODUCT(J$19:J$30,$T$19:$T$30),_xlpm.n,J$14,_xlpm.cum,SUMPRODUCT((ROW($C$19:$C$30)-18&lt;$U100)*J$19:J$30*$T$19:$T$30)+$V100*_xlpm.w,IF(OR(_xlpm.n="",_xlpm.n=0,_xlpm.tot=0,_xlpm.w=0),0,ROUND(_xlpm.cum/_xlpm.tot*_xlpm.n,0)-ROUND((_xlpm.cum-_xlpm.w)/_xlpm.tot*_xlpm.n,0)))</f>
        <v>0</v>
      </c>
      <c r="K100" s="691" cm="1">
        <f t="array" aca="1" ref="K100" ca="1">_xlfn.LET(_xlpm.w,INDEX(K$19:K$30,$U100),_xlpm.tot,SUMPRODUCT(K$19:K$30,$T$19:$T$30),_xlpm.n,K$14,_xlpm.cum,SUMPRODUCT((ROW($C$19:$C$30)-18&lt;$U100)*K$19:K$30*$T$19:$T$30)+$V100*_xlpm.w,IF(OR(_xlpm.n="",_xlpm.n=0,_xlpm.tot=0,_xlpm.w=0),0,ROUND(_xlpm.cum/_xlpm.tot*_xlpm.n,0)-ROUND((_xlpm.cum-_xlpm.w)/_xlpm.tot*_xlpm.n,0)))</f>
        <v>0</v>
      </c>
      <c r="L100" s="691" cm="1">
        <f t="array" aca="1" ref="L100" ca="1">_xlfn.LET(_xlpm.w,INDEX(L$19:L$30,$U100),_xlpm.tot,SUMPRODUCT(L$19:L$30,$T$19:$T$30),_xlpm.n,L$14,_xlpm.cum,SUMPRODUCT((ROW($C$19:$C$30)-18&lt;$U100)*L$19:L$30*$T$19:$T$30)+$V100*_xlpm.w,IF(OR(_xlpm.n="",_xlpm.n=0,_xlpm.tot=0,_xlpm.w=0),0,ROUND(_xlpm.cum/_xlpm.tot*_xlpm.n,0)-ROUND((_xlpm.cum-_xlpm.w)/_xlpm.tot*_xlpm.n,0)))</f>
        <v>0</v>
      </c>
      <c r="M100" s="691" cm="1">
        <f t="array" aca="1" ref="M100" ca="1">_xlfn.LET(_xlpm.w,INDEX(M$19:M$30,$U100),_xlpm.tot,SUMPRODUCT(M$19:M$30,$T$19:$T$30),_xlpm.n,M$14,_xlpm.cum,SUMPRODUCT((ROW($C$19:$C$30)-18&lt;$U100)*M$19:M$30*$T$19:$T$30)+$V100*_xlpm.w,IF(OR(_xlpm.n="",_xlpm.n=0,_xlpm.tot=0,_xlpm.w=0),0,ROUND(_xlpm.cum/_xlpm.tot*_xlpm.n,0)-ROUND((_xlpm.cum-_xlpm.w)/_xlpm.tot*_xlpm.n,0)))</f>
        <v>0</v>
      </c>
      <c r="N100" s="691" cm="1">
        <f t="array" aca="1" ref="N100" ca="1">_xlfn.LET(_xlpm.w,INDEX(N$19:N$30,$U100),_xlpm.tot,SUMPRODUCT(N$19:N$30,$T$19:$T$30),_xlpm.n,N$14,_xlpm.cum,SUMPRODUCT((ROW($C$19:$C$30)-18&lt;$U100)*N$19:N$30*$T$19:$T$30)+$V100*_xlpm.w,IF(OR(_xlpm.n="",_xlpm.n=0,_xlpm.tot=0,_xlpm.w=0),0,ROUND(_xlpm.cum/_xlpm.tot*_xlpm.n,0)-ROUND((_xlpm.cum-_xlpm.w)/_xlpm.tot*_xlpm.n,0)))</f>
        <v>0</v>
      </c>
      <c r="O100" s="691" cm="1">
        <f t="array" aca="1" ref="O100" ca="1">_xlfn.LET(_xlpm.w,INDEX(O$19:O$30,$U100),_xlpm.tot,SUMPRODUCT(O$19:O$30,$T$19:$T$30),_xlpm.n,O$14,_xlpm.cum,SUMPRODUCT((ROW($C$19:$C$30)-18&lt;$U100)*O$19:O$30*$T$19:$T$30)+$V100*_xlpm.w,IF(OR(_xlpm.n="",_xlpm.n=0,_xlpm.tot=0,_xlpm.w=0),0,ROUND(_xlpm.cum/_xlpm.tot*_xlpm.n,0)-ROUND((_xlpm.cum-_xlpm.w)/_xlpm.tot*_xlpm.n,0)))</f>
        <v>0</v>
      </c>
      <c r="P100" s="691" cm="1">
        <f t="array" aca="1" ref="P100" ca="1">_xlfn.LET(_xlpm.w,INDEX(P$19:P$30,$U100),_xlpm.tot,SUMPRODUCT(P$19:P$30,$T$19:$T$30),_xlpm.n,P$14,_xlpm.cum,SUMPRODUCT((ROW($C$19:$C$30)-18&lt;$U100)*P$19:P$30*$T$19:$T$30)+$V100*_xlpm.w,IF(OR(_xlpm.n="",_xlpm.n=0,_xlpm.tot=0,_xlpm.w=0),0,ROUND(_xlpm.cum/_xlpm.tot*_xlpm.n,0)-ROUND((_xlpm.cum-_xlpm.w)/_xlpm.tot*_xlpm.n,0)))</f>
        <v>0</v>
      </c>
      <c r="Q100" s="691" cm="1">
        <f t="array" aca="1" ref="Q100" ca="1">_xlfn.LET(_xlpm.w,INDEX(Q$19:Q$30,$U100),_xlpm.tot,SUMPRODUCT(Q$19:Q$30,$T$19:$T$30),_xlpm.n,Q$14,_xlpm.cum,SUMPRODUCT((ROW($C$19:$C$30)-18&lt;$U100)*Q$19:Q$30*$T$19:$T$30)+$V100*_xlpm.w,IF(OR(_xlpm.n="",_xlpm.n=0,_xlpm.tot=0,_xlpm.w=0),0,ROUND(_xlpm.cum/_xlpm.tot*_xlpm.n,0)-ROUND((_xlpm.cum-_xlpm.w)/_xlpm.tot*_xlpm.n,0)))</f>
        <v>0</v>
      </c>
      <c r="R100" s="691" cm="1">
        <f t="array" aca="1" ref="R100" ca="1">_xlfn.LET(_xlpm.w,INDEX(R$19:R$30,$U100),_xlpm.tot,SUMPRODUCT(R$19:R$30,$T$19:$T$30),_xlpm.n,R$14,_xlpm.cum,SUMPRODUCT((ROW($C$19:$C$30)-18&lt;$U100)*R$19:R$30*$T$19:$T$30)+$V100*_xlpm.w,IF(OR(_xlpm.n="",_xlpm.n=0,_xlpm.tot=0,_xlpm.w=0),0,ROUND(_xlpm.cum/_xlpm.tot*_xlpm.n,0)-ROUND((_xlpm.cum-_xlpm.w)/_xlpm.tot*_xlpm.n,0)))</f>
        <v>0</v>
      </c>
      <c r="S100" s="692">
        <f t="shared" ca="1" si="16"/>
        <v>1</v>
      </c>
      <c r="T100" s="693">
        <f t="shared" ca="1" si="17"/>
        <v>46331</v>
      </c>
      <c r="U100" s="694">
        <f t="shared" ca="1" si="18"/>
        <v>11</v>
      </c>
      <c r="V100" s="694">
        <f ca="1">COUNTIFS($U$56:$U100,$U100)</f>
        <v>2</v>
      </c>
      <c r="W100" s="695">
        <f t="shared" ca="1" si="19"/>
        <v>4.8</v>
      </c>
      <c r="X100" s="696" cm="1">
        <f t="array" aca="1" ref="X100" ca="1">INDEX($U$19:$U$30,$U100)</f>
        <v>20</v>
      </c>
      <c r="Y100" s="697">
        <f t="shared" ca="1" si="20"/>
        <v>0.24</v>
      </c>
      <c r="Z100" s="698" t="str">
        <f t="shared" ca="1" si="21"/>
        <v>OK</v>
      </c>
    </row>
    <row r="101" spans="1:26" ht="13.95" customHeight="1">
      <c r="A101" s="689">
        <f t="shared" si="22"/>
        <v>46</v>
      </c>
      <c r="B101" s="690" t="str" cm="1">
        <f t="array" aca="1" ref="B101" ca="1">INDEX($B$19:$B$30,$U101)</f>
        <v>NOVEMBRE</v>
      </c>
      <c r="C101" s="691" cm="1">
        <f t="array" aca="1" ref="C101" ca="1">_xlfn.LET(_xlpm.w,INDEX(C$19:C$30,$U101),_xlpm.tot,SUMPRODUCT(C$19:C$30,$T$19:$T$30),_xlpm.n,C$14,_xlpm.cum,SUMPRODUCT((ROW($C$19:$C$30)-18&lt;$U101)*C$19:C$30*$T$19:$T$30)+$V101*_xlpm.w,IF(OR(_xlpm.n="",_xlpm.n=0,_xlpm.tot=0,_xlpm.w=0),0,ROUND(_xlpm.cum/_xlpm.tot*_xlpm.n,0)-ROUND((_xlpm.cum-_xlpm.w)/_xlpm.tot*_xlpm.n,0)))</f>
        <v>0</v>
      </c>
      <c r="D101" s="691" cm="1">
        <f t="array" aca="1" ref="D101" ca="1">_xlfn.LET(_xlpm.w,INDEX(D$19:D$30,$U101),_xlpm.tot,SUMPRODUCT(D$19:D$30,$T$19:$T$30),_xlpm.n,D$14,_xlpm.cum,SUMPRODUCT((ROW($C$19:$C$30)-18&lt;$U101)*D$19:D$30*$T$19:$T$30)+$V101*_xlpm.w,IF(OR(_xlpm.n="",_xlpm.n=0,_xlpm.tot=0,_xlpm.w=0),0,ROUND(_xlpm.cum/_xlpm.tot*_xlpm.n,0)-ROUND((_xlpm.cum-_xlpm.w)/_xlpm.tot*_xlpm.n,0)))</f>
        <v>0</v>
      </c>
      <c r="E101" s="691" cm="1">
        <f t="array" aca="1" ref="E101" ca="1">_xlfn.LET(_xlpm.w,INDEX(E$19:E$30,$U101),_xlpm.tot,SUMPRODUCT(E$19:E$30,$T$19:$T$30),_xlpm.n,E$14,_xlpm.cum,SUMPRODUCT((ROW($C$19:$C$30)-18&lt;$U101)*E$19:E$30*$T$19:$T$30)+$V101*_xlpm.w,IF(OR(_xlpm.n="",_xlpm.n=0,_xlpm.tot=0,_xlpm.w=0),0,ROUND(_xlpm.cum/_xlpm.tot*_xlpm.n,0)-ROUND((_xlpm.cum-_xlpm.w)/_xlpm.tot*_xlpm.n,0)))</f>
        <v>0</v>
      </c>
      <c r="F101" s="691" cm="1">
        <f t="array" aca="1" ref="F101" ca="1">_xlfn.LET(_xlpm.w,INDEX(F$19:F$30,$U101),_xlpm.tot,SUMPRODUCT(F$19:F$30,$T$19:$T$30),_xlpm.n,F$14,_xlpm.cum,SUMPRODUCT((ROW($C$19:$C$30)-18&lt;$U101)*F$19:F$30*$T$19:$T$30)+$V101*_xlpm.w,IF(OR(_xlpm.n="",_xlpm.n=0,_xlpm.tot=0,_xlpm.w=0),0,ROUND(_xlpm.cum/_xlpm.tot*_xlpm.n,0)-ROUND((_xlpm.cum-_xlpm.w)/_xlpm.tot*_xlpm.n,0)))</f>
        <v>1</v>
      </c>
      <c r="G101" s="691" cm="1">
        <f t="array" aca="1" ref="G101" ca="1">_xlfn.LET(_xlpm.w,INDEX(G$19:G$30,$U101),_xlpm.tot,SUMPRODUCT(G$19:G$30,$T$19:$T$30),_xlpm.n,G$14,_xlpm.cum,SUMPRODUCT((ROW($C$19:$C$30)-18&lt;$U101)*G$19:G$30*$T$19:$T$30)+$V101*_xlpm.w,IF(OR(_xlpm.n="",_xlpm.n=0,_xlpm.tot=0,_xlpm.w=0),0,ROUND(_xlpm.cum/_xlpm.tot*_xlpm.n,0)-ROUND((_xlpm.cum-_xlpm.w)/_xlpm.tot*_xlpm.n,0)))</f>
        <v>0</v>
      </c>
      <c r="H101" s="691" cm="1">
        <f t="array" aca="1" ref="H101" ca="1">_xlfn.LET(_xlpm.w,INDEX(H$19:H$30,$U101),_xlpm.tot,SUMPRODUCT(H$19:H$30,$T$19:$T$30),_xlpm.n,H$14,_xlpm.cum,SUMPRODUCT((ROW($C$19:$C$30)-18&lt;$U101)*H$19:H$30*$T$19:$T$30)+$V101*_xlpm.w,IF(OR(_xlpm.n="",_xlpm.n=0,_xlpm.tot=0,_xlpm.w=0),0,ROUND(_xlpm.cum/_xlpm.tot*_xlpm.n,0)-ROUND((_xlpm.cum-_xlpm.w)/_xlpm.tot*_xlpm.n,0)))</f>
        <v>0</v>
      </c>
      <c r="I101" s="691" cm="1">
        <f t="array" aca="1" ref="I101" ca="1">_xlfn.LET(_xlpm.w,INDEX(I$19:I$30,$U101),_xlpm.tot,SUMPRODUCT(I$19:I$30,$T$19:$T$30),_xlpm.n,I$14,_xlpm.cum,SUMPRODUCT((ROW($C$19:$C$30)-18&lt;$U101)*I$19:I$30*$T$19:$T$30)+$V101*_xlpm.w,IF(OR(_xlpm.n="",_xlpm.n=0,_xlpm.tot=0,_xlpm.w=0),0,ROUND(_xlpm.cum/_xlpm.tot*_xlpm.n,0)-ROUND((_xlpm.cum-_xlpm.w)/_xlpm.tot*_xlpm.n,0)))</f>
        <v>0</v>
      </c>
      <c r="J101" s="691" cm="1">
        <f t="array" aca="1" ref="J101" ca="1">_xlfn.LET(_xlpm.w,INDEX(J$19:J$30,$U101),_xlpm.tot,SUMPRODUCT(J$19:J$30,$T$19:$T$30),_xlpm.n,J$14,_xlpm.cum,SUMPRODUCT((ROW($C$19:$C$30)-18&lt;$U101)*J$19:J$30*$T$19:$T$30)+$V101*_xlpm.w,IF(OR(_xlpm.n="",_xlpm.n=0,_xlpm.tot=0,_xlpm.w=0),0,ROUND(_xlpm.cum/_xlpm.tot*_xlpm.n,0)-ROUND((_xlpm.cum-_xlpm.w)/_xlpm.tot*_xlpm.n,0)))</f>
        <v>0</v>
      </c>
      <c r="K101" s="691" cm="1">
        <f t="array" aca="1" ref="K101" ca="1">_xlfn.LET(_xlpm.w,INDEX(K$19:K$30,$U101),_xlpm.tot,SUMPRODUCT(K$19:K$30,$T$19:$T$30),_xlpm.n,K$14,_xlpm.cum,SUMPRODUCT((ROW($C$19:$C$30)-18&lt;$U101)*K$19:K$30*$T$19:$T$30)+$V101*_xlpm.w,IF(OR(_xlpm.n="",_xlpm.n=0,_xlpm.tot=0,_xlpm.w=0),0,ROUND(_xlpm.cum/_xlpm.tot*_xlpm.n,0)-ROUND((_xlpm.cum-_xlpm.w)/_xlpm.tot*_xlpm.n,0)))</f>
        <v>0</v>
      </c>
      <c r="L101" s="691" cm="1">
        <f t="array" aca="1" ref="L101" ca="1">_xlfn.LET(_xlpm.w,INDEX(L$19:L$30,$U101),_xlpm.tot,SUMPRODUCT(L$19:L$30,$T$19:$T$30),_xlpm.n,L$14,_xlpm.cum,SUMPRODUCT((ROW($C$19:$C$30)-18&lt;$U101)*L$19:L$30*$T$19:$T$30)+$V101*_xlpm.w,IF(OR(_xlpm.n="",_xlpm.n=0,_xlpm.tot=0,_xlpm.w=0),0,ROUND(_xlpm.cum/_xlpm.tot*_xlpm.n,0)-ROUND((_xlpm.cum-_xlpm.w)/_xlpm.tot*_xlpm.n,0)))</f>
        <v>0</v>
      </c>
      <c r="M101" s="691" cm="1">
        <f t="array" aca="1" ref="M101" ca="1">_xlfn.LET(_xlpm.w,INDEX(M$19:M$30,$U101),_xlpm.tot,SUMPRODUCT(M$19:M$30,$T$19:$T$30),_xlpm.n,M$14,_xlpm.cum,SUMPRODUCT((ROW($C$19:$C$30)-18&lt;$U101)*M$19:M$30*$T$19:$T$30)+$V101*_xlpm.w,IF(OR(_xlpm.n="",_xlpm.n=0,_xlpm.tot=0,_xlpm.w=0),0,ROUND(_xlpm.cum/_xlpm.tot*_xlpm.n,0)-ROUND((_xlpm.cum-_xlpm.w)/_xlpm.tot*_xlpm.n,0)))</f>
        <v>0</v>
      </c>
      <c r="N101" s="691" cm="1">
        <f t="array" aca="1" ref="N101" ca="1">_xlfn.LET(_xlpm.w,INDEX(N$19:N$30,$U101),_xlpm.tot,SUMPRODUCT(N$19:N$30,$T$19:$T$30),_xlpm.n,N$14,_xlpm.cum,SUMPRODUCT((ROW($C$19:$C$30)-18&lt;$U101)*N$19:N$30*$T$19:$T$30)+$V101*_xlpm.w,IF(OR(_xlpm.n="",_xlpm.n=0,_xlpm.tot=0,_xlpm.w=0),0,ROUND(_xlpm.cum/_xlpm.tot*_xlpm.n,0)-ROUND((_xlpm.cum-_xlpm.w)/_xlpm.tot*_xlpm.n,0)))</f>
        <v>0</v>
      </c>
      <c r="O101" s="691" cm="1">
        <f t="array" aca="1" ref="O101" ca="1">_xlfn.LET(_xlpm.w,INDEX(O$19:O$30,$U101),_xlpm.tot,SUMPRODUCT(O$19:O$30,$T$19:$T$30),_xlpm.n,O$14,_xlpm.cum,SUMPRODUCT((ROW($C$19:$C$30)-18&lt;$U101)*O$19:O$30*$T$19:$T$30)+$V101*_xlpm.w,IF(OR(_xlpm.n="",_xlpm.n=0,_xlpm.tot=0,_xlpm.w=0),0,ROUND(_xlpm.cum/_xlpm.tot*_xlpm.n,0)-ROUND((_xlpm.cum-_xlpm.w)/_xlpm.tot*_xlpm.n,0)))</f>
        <v>0</v>
      </c>
      <c r="P101" s="691" cm="1">
        <f t="array" aca="1" ref="P101" ca="1">_xlfn.LET(_xlpm.w,INDEX(P$19:P$30,$U101),_xlpm.tot,SUMPRODUCT(P$19:P$30,$T$19:$T$30),_xlpm.n,P$14,_xlpm.cum,SUMPRODUCT((ROW($C$19:$C$30)-18&lt;$U101)*P$19:P$30*$T$19:$T$30)+$V101*_xlpm.w,IF(OR(_xlpm.n="",_xlpm.n=0,_xlpm.tot=0,_xlpm.w=0),0,ROUND(_xlpm.cum/_xlpm.tot*_xlpm.n,0)-ROUND((_xlpm.cum-_xlpm.w)/_xlpm.tot*_xlpm.n,0)))</f>
        <v>0</v>
      </c>
      <c r="Q101" s="691" cm="1">
        <f t="array" aca="1" ref="Q101" ca="1">_xlfn.LET(_xlpm.w,INDEX(Q$19:Q$30,$U101),_xlpm.tot,SUMPRODUCT(Q$19:Q$30,$T$19:$T$30),_xlpm.n,Q$14,_xlpm.cum,SUMPRODUCT((ROW($C$19:$C$30)-18&lt;$U101)*Q$19:Q$30*$T$19:$T$30)+$V101*_xlpm.w,IF(OR(_xlpm.n="",_xlpm.n=0,_xlpm.tot=0,_xlpm.w=0),0,ROUND(_xlpm.cum/_xlpm.tot*_xlpm.n,0)-ROUND((_xlpm.cum-_xlpm.w)/_xlpm.tot*_xlpm.n,0)))</f>
        <v>0</v>
      </c>
      <c r="R101" s="691" cm="1">
        <f t="array" aca="1" ref="R101" ca="1">_xlfn.LET(_xlpm.w,INDEX(R$19:R$30,$U101),_xlpm.tot,SUMPRODUCT(R$19:R$30,$T$19:$T$30),_xlpm.n,R$14,_xlpm.cum,SUMPRODUCT((ROW($C$19:$C$30)-18&lt;$U101)*R$19:R$30*$T$19:$T$30)+$V101*_xlpm.w,IF(OR(_xlpm.n="",_xlpm.n=0,_xlpm.tot=0,_xlpm.w=0),0,ROUND(_xlpm.cum/_xlpm.tot*_xlpm.n,0)-ROUND((_xlpm.cum-_xlpm.w)/_xlpm.tot*_xlpm.n,0)))</f>
        <v>0</v>
      </c>
      <c r="S101" s="692">
        <f t="shared" ca="1" si="16"/>
        <v>1</v>
      </c>
      <c r="T101" s="693">
        <f t="shared" ca="1" si="17"/>
        <v>46338</v>
      </c>
      <c r="U101" s="694">
        <f t="shared" ca="1" si="18"/>
        <v>11</v>
      </c>
      <c r="V101" s="694">
        <f ca="1">COUNTIFS($U$56:$U101,$U101)</f>
        <v>3</v>
      </c>
      <c r="W101" s="695">
        <f t="shared" ca="1" si="19"/>
        <v>4.8</v>
      </c>
      <c r="X101" s="696" cm="1">
        <f t="array" aca="1" ref="X101" ca="1">INDEX($U$19:$U$30,$U101)</f>
        <v>20</v>
      </c>
      <c r="Y101" s="697">
        <f t="shared" ca="1" si="20"/>
        <v>0.24</v>
      </c>
      <c r="Z101" s="698" t="str">
        <f t="shared" ca="1" si="21"/>
        <v>OK</v>
      </c>
    </row>
    <row r="102" spans="1:26" ht="13.95" customHeight="1">
      <c r="A102" s="689">
        <f t="shared" si="22"/>
        <v>47</v>
      </c>
      <c r="B102" s="690" t="str" cm="1">
        <f t="array" aca="1" ref="B102" ca="1">INDEX($B$19:$B$30,$U102)</f>
        <v>NOVEMBRE</v>
      </c>
      <c r="C102" s="691" cm="1">
        <f t="array" aca="1" ref="C102" ca="1">_xlfn.LET(_xlpm.w,INDEX(C$19:C$30,$U102),_xlpm.tot,SUMPRODUCT(C$19:C$30,$T$19:$T$30),_xlpm.n,C$14,_xlpm.cum,SUMPRODUCT((ROW($C$19:$C$30)-18&lt;$U102)*C$19:C$30*$T$19:$T$30)+$V102*_xlpm.w,IF(OR(_xlpm.n="",_xlpm.n=0,_xlpm.tot=0,_xlpm.w=0),0,ROUND(_xlpm.cum/_xlpm.tot*_xlpm.n,0)-ROUND((_xlpm.cum-_xlpm.w)/_xlpm.tot*_xlpm.n,0)))</f>
        <v>0</v>
      </c>
      <c r="D102" s="691" cm="1">
        <f t="array" aca="1" ref="D102" ca="1">_xlfn.LET(_xlpm.w,INDEX(D$19:D$30,$U102),_xlpm.tot,SUMPRODUCT(D$19:D$30,$T$19:$T$30),_xlpm.n,D$14,_xlpm.cum,SUMPRODUCT((ROW($C$19:$C$30)-18&lt;$U102)*D$19:D$30*$T$19:$T$30)+$V102*_xlpm.w,IF(OR(_xlpm.n="",_xlpm.n=0,_xlpm.tot=0,_xlpm.w=0),0,ROUND(_xlpm.cum/_xlpm.tot*_xlpm.n,0)-ROUND((_xlpm.cum-_xlpm.w)/_xlpm.tot*_xlpm.n,0)))</f>
        <v>0</v>
      </c>
      <c r="E102" s="691" cm="1">
        <f t="array" aca="1" ref="E102" ca="1">_xlfn.LET(_xlpm.w,INDEX(E$19:E$30,$U102),_xlpm.tot,SUMPRODUCT(E$19:E$30,$T$19:$T$30),_xlpm.n,E$14,_xlpm.cum,SUMPRODUCT((ROW($C$19:$C$30)-18&lt;$U102)*E$19:E$30*$T$19:$T$30)+$V102*_xlpm.w,IF(OR(_xlpm.n="",_xlpm.n=0,_xlpm.tot=0,_xlpm.w=0),0,ROUND(_xlpm.cum/_xlpm.tot*_xlpm.n,0)-ROUND((_xlpm.cum-_xlpm.w)/_xlpm.tot*_xlpm.n,0)))</f>
        <v>0</v>
      </c>
      <c r="F102" s="691" cm="1">
        <f t="array" aca="1" ref="F102" ca="1">_xlfn.LET(_xlpm.w,INDEX(F$19:F$30,$U102),_xlpm.tot,SUMPRODUCT(F$19:F$30,$T$19:$T$30),_xlpm.n,F$14,_xlpm.cum,SUMPRODUCT((ROW($C$19:$C$30)-18&lt;$U102)*F$19:F$30*$T$19:$T$30)+$V102*_xlpm.w,IF(OR(_xlpm.n="",_xlpm.n=0,_xlpm.tot=0,_xlpm.w=0),0,ROUND(_xlpm.cum/_xlpm.tot*_xlpm.n,0)-ROUND((_xlpm.cum-_xlpm.w)/_xlpm.tot*_xlpm.n,0)))</f>
        <v>0</v>
      </c>
      <c r="G102" s="691" cm="1">
        <f t="array" aca="1" ref="G102" ca="1">_xlfn.LET(_xlpm.w,INDEX(G$19:G$30,$U102),_xlpm.tot,SUMPRODUCT(G$19:G$30,$T$19:$T$30),_xlpm.n,G$14,_xlpm.cum,SUMPRODUCT((ROW($C$19:$C$30)-18&lt;$U102)*G$19:G$30*$T$19:$T$30)+$V102*_xlpm.w,IF(OR(_xlpm.n="",_xlpm.n=0,_xlpm.tot=0,_xlpm.w=0),0,ROUND(_xlpm.cum/_xlpm.tot*_xlpm.n,0)-ROUND((_xlpm.cum-_xlpm.w)/_xlpm.tot*_xlpm.n,0)))</f>
        <v>0</v>
      </c>
      <c r="H102" s="691" cm="1">
        <f t="array" aca="1" ref="H102" ca="1">_xlfn.LET(_xlpm.w,INDEX(H$19:H$30,$U102),_xlpm.tot,SUMPRODUCT(H$19:H$30,$T$19:$T$30),_xlpm.n,H$14,_xlpm.cum,SUMPRODUCT((ROW($C$19:$C$30)-18&lt;$U102)*H$19:H$30*$T$19:$T$30)+$V102*_xlpm.w,IF(OR(_xlpm.n="",_xlpm.n=0,_xlpm.tot=0,_xlpm.w=0),0,ROUND(_xlpm.cum/_xlpm.tot*_xlpm.n,0)-ROUND((_xlpm.cum-_xlpm.w)/_xlpm.tot*_xlpm.n,0)))</f>
        <v>0</v>
      </c>
      <c r="I102" s="691" cm="1">
        <f t="array" aca="1" ref="I102" ca="1">_xlfn.LET(_xlpm.w,INDEX(I$19:I$30,$U102),_xlpm.tot,SUMPRODUCT(I$19:I$30,$T$19:$T$30),_xlpm.n,I$14,_xlpm.cum,SUMPRODUCT((ROW($C$19:$C$30)-18&lt;$U102)*I$19:I$30*$T$19:$T$30)+$V102*_xlpm.w,IF(OR(_xlpm.n="",_xlpm.n=0,_xlpm.tot=0,_xlpm.w=0),0,ROUND(_xlpm.cum/_xlpm.tot*_xlpm.n,0)-ROUND((_xlpm.cum-_xlpm.w)/_xlpm.tot*_xlpm.n,0)))</f>
        <v>0</v>
      </c>
      <c r="J102" s="691" cm="1">
        <f t="array" aca="1" ref="J102" ca="1">_xlfn.LET(_xlpm.w,INDEX(J$19:J$30,$U102),_xlpm.tot,SUMPRODUCT(J$19:J$30,$T$19:$T$30),_xlpm.n,J$14,_xlpm.cum,SUMPRODUCT((ROW($C$19:$C$30)-18&lt;$U102)*J$19:J$30*$T$19:$T$30)+$V102*_xlpm.w,IF(OR(_xlpm.n="",_xlpm.n=0,_xlpm.tot=0,_xlpm.w=0),0,ROUND(_xlpm.cum/_xlpm.tot*_xlpm.n,0)-ROUND((_xlpm.cum-_xlpm.w)/_xlpm.tot*_xlpm.n,0)))</f>
        <v>0</v>
      </c>
      <c r="K102" s="691" cm="1">
        <f t="array" aca="1" ref="K102" ca="1">_xlfn.LET(_xlpm.w,INDEX(K$19:K$30,$U102),_xlpm.tot,SUMPRODUCT(K$19:K$30,$T$19:$T$30),_xlpm.n,K$14,_xlpm.cum,SUMPRODUCT((ROW($C$19:$C$30)-18&lt;$U102)*K$19:K$30*$T$19:$T$30)+$V102*_xlpm.w,IF(OR(_xlpm.n="",_xlpm.n=0,_xlpm.tot=0,_xlpm.w=0),0,ROUND(_xlpm.cum/_xlpm.tot*_xlpm.n,0)-ROUND((_xlpm.cum-_xlpm.w)/_xlpm.tot*_xlpm.n,0)))</f>
        <v>0</v>
      </c>
      <c r="L102" s="691" cm="1">
        <f t="array" aca="1" ref="L102" ca="1">_xlfn.LET(_xlpm.w,INDEX(L$19:L$30,$U102),_xlpm.tot,SUMPRODUCT(L$19:L$30,$T$19:$T$30),_xlpm.n,L$14,_xlpm.cum,SUMPRODUCT((ROW($C$19:$C$30)-18&lt;$U102)*L$19:L$30*$T$19:$T$30)+$V102*_xlpm.w,IF(OR(_xlpm.n="",_xlpm.n=0,_xlpm.tot=0,_xlpm.w=0),0,ROUND(_xlpm.cum/_xlpm.tot*_xlpm.n,0)-ROUND((_xlpm.cum-_xlpm.w)/_xlpm.tot*_xlpm.n,0)))</f>
        <v>0</v>
      </c>
      <c r="M102" s="691" cm="1">
        <f t="array" aca="1" ref="M102" ca="1">_xlfn.LET(_xlpm.w,INDEX(M$19:M$30,$U102),_xlpm.tot,SUMPRODUCT(M$19:M$30,$T$19:$T$30),_xlpm.n,M$14,_xlpm.cum,SUMPRODUCT((ROW($C$19:$C$30)-18&lt;$U102)*M$19:M$30*$T$19:$T$30)+$V102*_xlpm.w,IF(OR(_xlpm.n="",_xlpm.n=0,_xlpm.tot=0,_xlpm.w=0),0,ROUND(_xlpm.cum/_xlpm.tot*_xlpm.n,0)-ROUND((_xlpm.cum-_xlpm.w)/_xlpm.tot*_xlpm.n,0)))</f>
        <v>0</v>
      </c>
      <c r="N102" s="691" cm="1">
        <f t="array" aca="1" ref="N102" ca="1">_xlfn.LET(_xlpm.w,INDEX(N$19:N$30,$U102),_xlpm.tot,SUMPRODUCT(N$19:N$30,$T$19:$T$30),_xlpm.n,N$14,_xlpm.cum,SUMPRODUCT((ROW($C$19:$C$30)-18&lt;$U102)*N$19:N$30*$T$19:$T$30)+$V102*_xlpm.w,IF(OR(_xlpm.n="",_xlpm.n=0,_xlpm.tot=0,_xlpm.w=0),0,ROUND(_xlpm.cum/_xlpm.tot*_xlpm.n,0)-ROUND((_xlpm.cum-_xlpm.w)/_xlpm.tot*_xlpm.n,0)))</f>
        <v>0</v>
      </c>
      <c r="O102" s="691" cm="1">
        <f t="array" aca="1" ref="O102" ca="1">_xlfn.LET(_xlpm.w,INDEX(O$19:O$30,$U102),_xlpm.tot,SUMPRODUCT(O$19:O$30,$T$19:$T$30),_xlpm.n,O$14,_xlpm.cum,SUMPRODUCT((ROW($C$19:$C$30)-18&lt;$U102)*O$19:O$30*$T$19:$T$30)+$V102*_xlpm.w,IF(OR(_xlpm.n="",_xlpm.n=0,_xlpm.tot=0,_xlpm.w=0),0,ROUND(_xlpm.cum/_xlpm.tot*_xlpm.n,0)-ROUND((_xlpm.cum-_xlpm.w)/_xlpm.tot*_xlpm.n,0)))</f>
        <v>0</v>
      </c>
      <c r="P102" s="691" cm="1">
        <f t="array" aca="1" ref="P102" ca="1">_xlfn.LET(_xlpm.w,INDEX(P$19:P$30,$U102),_xlpm.tot,SUMPRODUCT(P$19:P$30,$T$19:$T$30),_xlpm.n,P$14,_xlpm.cum,SUMPRODUCT((ROW($C$19:$C$30)-18&lt;$U102)*P$19:P$30*$T$19:$T$30)+$V102*_xlpm.w,IF(OR(_xlpm.n="",_xlpm.n=0,_xlpm.tot=0,_xlpm.w=0),0,ROUND(_xlpm.cum/_xlpm.tot*_xlpm.n,0)-ROUND((_xlpm.cum-_xlpm.w)/_xlpm.tot*_xlpm.n,0)))</f>
        <v>0</v>
      </c>
      <c r="Q102" s="691" cm="1">
        <f t="array" aca="1" ref="Q102" ca="1">_xlfn.LET(_xlpm.w,INDEX(Q$19:Q$30,$U102),_xlpm.tot,SUMPRODUCT(Q$19:Q$30,$T$19:$T$30),_xlpm.n,Q$14,_xlpm.cum,SUMPRODUCT((ROW($C$19:$C$30)-18&lt;$U102)*Q$19:Q$30*$T$19:$T$30)+$V102*_xlpm.w,IF(OR(_xlpm.n="",_xlpm.n=0,_xlpm.tot=0,_xlpm.w=0),0,ROUND(_xlpm.cum/_xlpm.tot*_xlpm.n,0)-ROUND((_xlpm.cum-_xlpm.w)/_xlpm.tot*_xlpm.n,0)))</f>
        <v>0</v>
      </c>
      <c r="R102" s="691" cm="1">
        <f t="array" aca="1" ref="R102" ca="1">_xlfn.LET(_xlpm.w,INDEX(R$19:R$30,$U102),_xlpm.tot,SUMPRODUCT(R$19:R$30,$T$19:$T$30),_xlpm.n,R$14,_xlpm.cum,SUMPRODUCT((ROW($C$19:$C$30)-18&lt;$U102)*R$19:R$30*$T$19:$T$30)+$V102*_xlpm.w,IF(OR(_xlpm.n="",_xlpm.n=0,_xlpm.tot=0,_xlpm.w=0),0,ROUND(_xlpm.cum/_xlpm.tot*_xlpm.n,0)-ROUND((_xlpm.cum-_xlpm.w)/_xlpm.tot*_xlpm.n,0)))</f>
        <v>0</v>
      </c>
      <c r="S102" s="692">
        <f t="shared" ca="1" si="16"/>
        <v>0</v>
      </c>
      <c r="T102" s="693">
        <f t="shared" ca="1" si="17"/>
        <v>46345</v>
      </c>
      <c r="U102" s="694">
        <f t="shared" ca="1" si="18"/>
        <v>11</v>
      </c>
      <c r="V102" s="694">
        <f ca="1">COUNTIFS($U$56:$U102,$U102)</f>
        <v>4</v>
      </c>
      <c r="W102" s="695">
        <f t="shared" ca="1" si="19"/>
        <v>0</v>
      </c>
      <c r="X102" s="696" cm="1">
        <f t="array" aca="1" ref="X102" ca="1">INDEX($U$19:$U$30,$U102)</f>
        <v>20</v>
      </c>
      <c r="Y102" s="697">
        <f t="shared" ca="1" si="20"/>
        <v>0</v>
      </c>
      <c r="Z102" s="698" t="str">
        <f t="shared" ca="1" si="21"/>
        <v>OK</v>
      </c>
    </row>
    <row r="103" spans="1:26" ht="13.95" customHeight="1">
      <c r="A103" s="689">
        <f t="shared" si="22"/>
        <v>48</v>
      </c>
      <c r="B103" s="690" t="str" cm="1">
        <f t="array" aca="1" ref="B103" ca="1">INDEX($B$19:$B$30,$U103)</f>
        <v>NOVEMBRE</v>
      </c>
      <c r="C103" s="691" cm="1">
        <f t="array" aca="1" ref="C103" ca="1">_xlfn.LET(_xlpm.w,INDEX(C$19:C$30,$U103),_xlpm.tot,SUMPRODUCT(C$19:C$30,$T$19:$T$30),_xlpm.n,C$14,_xlpm.cum,SUMPRODUCT((ROW($C$19:$C$30)-18&lt;$U103)*C$19:C$30*$T$19:$T$30)+$V103*_xlpm.w,IF(OR(_xlpm.n="",_xlpm.n=0,_xlpm.tot=0,_xlpm.w=0),0,ROUND(_xlpm.cum/_xlpm.tot*_xlpm.n,0)-ROUND((_xlpm.cum-_xlpm.w)/_xlpm.tot*_xlpm.n,0)))</f>
        <v>0</v>
      </c>
      <c r="D103" s="691" cm="1">
        <f t="array" aca="1" ref="D103" ca="1">_xlfn.LET(_xlpm.w,INDEX(D$19:D$30,$U103),_xlpm.tot,SUMPRODUCT(D$19:D$30,$T$19:$T$30),_xlpm.n,D$14,_xlpm.cum,SUMPRODUCT((ROW($C$19:$C$30)-18&lt;$U103)*D$19:D$30*$T$19:$T$30)+$V103*_xlpm.w,IF(OR(_xlpm.n="",_xlpm.n=0,_xlpm.tot=0,_xlpm.w=0),0,ROUND(_xlpm.cum/_xlpm.tot*_xlpm.n,0)-ROUND((_xlpm.cum-_xlpm.w)/_xlpm.tot*_xlpm.n,0)))</f>
        <v>1</v>
      </c>
      <c r="E103" s="691" cm="1">
        <f t="array" aca="1" ref="E103" ca="1">_xlfn.LET(_xlpm.w,INDEX(E$19:E$30,$U103),_xlpm.tot,SUMPRODUCT(E$19:E$30,$T$19:$T$30),_xlpm.n,E$14,_xlpm.cum,SUMPRODUCT((ROW($C$19:$C$30)-18&lt;$U103)*E$19:E$30*$T$19:$T$30)+$V103*_xlpm.w,IF(OR(_xlpm.n="",_xlpm.n=0,_xlpm.tot=0,_xlpm.w=0),0,ROUND(_xlpm.cum/_xlpm.tot*_xlpm.n,0)-ROUND((_xlpm.cum-_xlpm.w)/_xlpm.tot*_xlpm.n,0)))</f>
        <v>0</v>
      </c>
      <c r="F103" s="691" cm="1">
        <f t="array" aca="1" ref="F103" ca="1">_xlfn.LET(_xlpm.w,INDEX(F$19:F$30,$U103),_xlpm.tot,SUMPRODUCT(F$19:F$30,$T$19:$T$30),_xlpm.n,F$14,_xlpm.cum,SUMPRODUCT((ROW($C$19:$C$30)-18&lt;$U103)*F$19:F$30*$T$19:$T$30)+$V103*_xlpm.w,IF(OR(_xlpm.n="",_xlpm.n=0,_xlpm.tot=0,_xlpm.w=0),0,ROUND(_xlpm.cum/_xlpm.tot*_xlpm.n,0)-ROUND((_xlpm.cum-_xlpm.w)/_xlpm.tot*_xlpm.n,0)))</f>
        <v>1</v>
      </c>
      <c r="G103" s="691" cm="1">
        <f t="array" aca="1" ref="G103" ca="1">_xlfn.LET(_xlpm.w,INDEX(G$19:G$30,$U103),_xlpm.tot,SUMPRODUCT(G$19:G$30,$T$19:$T$30),_xlpm.n,G$14,_xlpm.cum,SUMPRODUCT((ROW($C$19:$C$30)-18&lt;$U103)*G$19:G$30*$T$19:$T$30)+$V103*_xlpm.w,IF(OR(_xlpm.n="",_xlpm.n=0,_xlpm.tot=0,_xlpm.w=0),0,ROUND(_xlpm.cum/_xlpm.tot*_xlpm.n,0)-ROUND((_xlpm.cum-_xlpm.w)/_xlpm.tot*_xlpm.n,0)))</f>
        <v>0</v>
      </c>
      <c r="H103" s="691" cm="1">
        <f t="array" aca="1" ref="H103" ca="1">_xlfn.LET(_xlpm.w,INDEX(H$19:H$30,$U103),_xlpm.tot,SUMPRODUCT(H$19:H$30,$T$19:$T$30),_xlpm.n,H$14,_xlpm.cum,SUMPRODUCT((ROW($C$19:$C$30)-18&lt;$U103)*H$19:H$30*$T$19:$T$30)+$V103*_xlpm.w,IF(OR(_xlpm.n="",_xlpm.n=0,_xlpm.tot=0,_xlpm.w=0),0,ROUND(_xlpm.cum/_xlpm.tot*_xlpm.n,0)-ROUND((_xlpm.cum-_xlpm.w)/_xlpm.tot*_xlpm.n,0)))</f>
        <v>0</v>
      </c>
      <c r="I103" s="691" cm="1">
        <f t="array" aca="1" ref="I103" ca="1">_xlfn.LET(_xlpm.w,INDEX(I$19:I$30,$U103),_xlpm.tot,SUMPRODUCT(I$19:I$30,$T$19:$T$30),_xlpm.n,I$14,_xlpm.cum,SUMPRODUCT((ROW($C$19:$C$30)-18&lt;$U103)*I$19:I$30*$T$19:$T$30)+$V103*_xlpm.w,IF(OR(_xlpm.n="",_xlpm.n=0,_xlpm.tot=0,_xlpm.w=0),0,ROUND(_xlpm.cum/_xlpm.tot*_xlpm.n,0)-ROUND((_xlpm.cum-_xlpm.w)/_xlpm.tot*_xlpm.n,0)))</f>
        <v>0</v>
      </c>
      <c r="J103" s="691" cm="1">
        <f t="array" aca="1" ref="J103" ca="1">_xlfn.LET(_xlpm.w,INDEX(J$19:J$30,$U103),_xlpm.tot,SUMPRODUCT(J$19:J$30,$T$19:$T$30),_xlpm.n,J$14,_xlpm.cum,SUMPRODUCT((ROW($C$19:$C$30)-18&lt;$U103)*J$19:J$30*$T$19:$T$30)+$V103*_xlpm.w,IF(OR(_xlpm.n="",_xlpm.n=0,_xlpm.tot=0,_xlpm.w=0),0,ROUND(_xlpm.cum/_xlpm.tot*_xlpm.n,0)-ROUND((_xlpm.cum-_xlpm.w)/_xlpm.tot*_xlpm.n,0)))</f>
        <v>0</v>
      </c>
      <c r="K103" s="691" cm="1">
        <f t="array" aca="1" ref="K103" ca="1">_xlfn.LET(_xlpm.w,INDEX(K$19:K$30,$U103),_xlpm.tot,SUMPRODUCT(K$19:K$30,$T$19:$T$30),_xlpm.n,K$14,_xlpm.cum,SUMPRODUCT((ROW($C$19:$C$30)-18&lt;$U103)*K$19:K$30*$T$19:$T$30)+$V103*_xlpm.w,IF(OR(_xlpm.n="",_xlpm.n=0,_xlpm.tot=0,_xlpm.w=0),0,ROUND(_xlpm.cum/_xlpm.tot*_xlpm.n,0)-ROUND((_xlpm.cum-_xlpm.w)/_xlpm.tot*_xlpm.n,0)))</f>
        <v>0</v>
      </c>
      <c r="L103" s="691" cm="1">
        <f t="array" aca="1" ref="L103" ca="1">_xlfn.LET(_xlpm.w,INDEX(L$19:L$30,$U103),_xlpm.tot,SUMPRODUCT(L$19:L$30,$T$19:$T$30),_xlpm.n,L$14,_xlpm.cum,SUMPRODUCT((ROW($C$19:$C$30)-18&lt;$U103)*L$19:L$30*$T$19:$T$30)+$V103*_xlpm.w,IF(OR(_xlpm.n="",_xlpm.n=0,_xlpm.tot=0,_xlpm.w=0),0,ROUND(_xlpm.cum/_xlpm.tot*_xlpm.n,0)-ROUND((_xlpm.cum-_xlpm.w)/_xlpm.tot*_xlpm.n,0)))</f>
        <v>0</v>
      </c>
      <c r="M103" s="691" cm="1">
        <f t="array" aca="1" ref="M103" ca="1">_xlfn.LET(_xlpm.w,INDEX(M$19:M$30,$U103),_xlpm.tot,SUMPRODUCT(M$19:M$30,$T$19:$T$30),_xlpm.n,M$14,_xlpm.cum,SUMPRODUCT((ROW($C$19:$C$30)-18&lt;$U103)*M$19:M$30*$T$19:$T$30)+$V103*_xlpm.w,IF(OR(_xlpm.n="",_xlpm.n=0,_xlpm.tot=0,_xlpm.w=0),0,ROUND(_xlpm.cum/_xlpm.tot*_xlpm.n,0)-ROUND((_xlpm.cum-_xlpm.w)/_xlpm.tot*_xlpm.n,0)))</f>
        <v>0</v>
      </c>
      <c r="N103" s="691" cm="1">
        <f t="array" aca="1" ref="N103" ca="1">_xlfn.LET(_xlpm.w,INDEX(N$19:N$30,$U103),_xlpm.tot,SUMPRODUCT(N$19:N$30,$T$19:$T$30),_xlpm.n,N$14,_xlpm.cum,SUMPRODUCT((ROW($C$19:$C$30)-18&lt;$U103)*N$19:N$30*$T$19:$T$30)+$V103*_xlpm.w,IF(OR(_xlpm.n="",_xlpm.n=0,_xlpm.tot=0,_xlpm.w=0),0,ROUND(_xlpm.cum/_xlpm.tot*_xlpm.n,0)-ROUND((_xlpm.cum-_xlpm.w)/_xlpm.tot*_xlpm.n,0)))</f>
        <v>0</v>
      </c>
      <c r="O103" s="691" cm="1">
        <f t="array" aca="1" ref="O103" ca="1">_xlfn.LET(_xlpm.w,INDEX(O$19:O$30,$U103),_xlpm.tot,SUMPRODUCT(O$19:O$30,$T$19:$T$30),_xlpm.n,O$14,_xlpm.cum,SUMPRODUCT((ROW($C$19:$C$30)-18&lt;$U103)*O$19:O$30*$T$19:$T$30)+$V103*_xlpm.w,IF(OR(_xlpm.n="",_xlpm.n=0,_xlpm.tot=0,_xlpm.w=0),0,ROUND(_xlpm.cum/_xlpm.tot*_xlpm.n,0)-ROUND((_xlpm.cum-_xlpm.w)/_xlpm.tot*_xlpm.n,0)))</f>
        <v>0</v>
      </c>
      <c r="P103" s="691" cm="1">
        <f t="array" aca="1" ref="P103" ca="1">_xlfn.LET(_xlpm.w,INDEX(P$19:P$30,$U103),_xlpm.tot,SUMPRODUCT(P$19:P$30,$T$19:$T$30),_xlpm.n,P$14,_xlpm.cum,SUMPRODUCT((ROW($C$19:$C$30)-18&lt;$U103)*P$19:P$30*$T$19:$T$30)+$V103*_xlpm.w,IF(OR(_xlpm.n="",_xlpm.n=0,_xlpm.tot=0,_xlpm.w=0),0,ROUND(_xlpm.cum/_xlpm.tot*_xlpm.n,0)-ROUND((_xlpm.cum-_xlpm.w)/_xlpm.tot*_xlpm.n,0)))</f>
        <v>0</v>
      </c>
      <c r="Q103" s="691" cm="1">
        <f t="array" aca="1" ref="Q103" ca="1">_xlfn.LET(_xlpm.w,INDEX(Q$19:Q$30,$U103),_xlpm.tot,SUMPRODUCT(Q$19:Q$30,$T$19:$T$30),_xlpm.n,Q$14,_xlpm.cum,SUMPRODUCT((ROW($C$19:$C$30)-18&lt;$U103)*Q$19:Q$30*$T$19:$T$30)+$V103*_xlpm.w,IF(OR(_xlpm.n="",_xlpm.n=0,_xlpm.tot=0,_xlpm.w=0),0,ROUND(_xlpm.cum/_xlpm.tot*_xlpm.n,0)-ROUND((_xlpm.cum-_xlpm.w)/_xlpm.tot*_xlpm.n,0)))</f>
        <v>0</v>
      </c>
      <c r="R103" s="691" cm="1">
        <f t="array" aca="1" ref="R103" ca="1">_xlfn.LET(_xlpm.w,INDEX(R$19:R$30,$U103),_xlpm.tot,SUMPRODUCT(R$19:R$30,$T$19:$T$30),_xlpm.n,R$14,_xlpm.cum,SUMPRODUCT((ROW($C$19:$C$30)-18&lt;$U103)*R$19:R$30*$T$19:$T$30)+$V103*_xlpm.w,IF(OR(_xlpm.n="",_xlpm.n=0,_xlpm.tot=0,_xlpm.w=0),0,ROUND(_xlpm.cum/_xlpm.tot*_xlpm.n,0)-ROUND((_xlpm.cum-_xlpm.w)/_xlpm.tot*_xlpm.n,0)))</f>
        <v>0</v>
      </c>
      <c r="S103" s="692">
        <f t="shared" ca="1" si="16"/>
        <v>2</v>
      </c>
      <c r="T103" s="693">
        <f t="shared" ca="1" si="17"/>
        <v>46352</v>
      </c>
      <c r="U103" s="694">
        <f t="shared" ca="1" si="18"/>
        <v>11</v>
      </c>
      <c r="V103" s="694">
        <f ca="1">COUNTIFS($U$56:$U103,$U103)</f>
        <v>5</v>
      </c>
      <c r="W103" s="695">
        <f t="shared" ca="1" si="19"/>
        <v>9.6</v>
      </c>
      <c r="X103" s="696" cm="1">
        <f t="array" aca="1" ref="X103" ca="1">INDEX($U$19:$U$30,$U103)</f>
        <v>20</v>
      </c>
      <c r="Y103" s="697">
        <f t="shared" ca="1" si="20"/>
        <v>0.48</v>
      </c>
      <c r="Z103" s="698" t="str">
        <f t="shared" ca="1" si="21"/>
        <v>OK</v>
      </c>
    </row>
    <row r="104" spans="1:26" ht="13.95" customHeight="1">
      <c r="A104" s="689">
        <f t="shared" si="22"/>
        <v>49</v>
      </c>
      <c r="B104" s="690" t="str" cm="1">
        <f t="array" aca="1" ref="B104" ca="1">INDEX($B$19:$B$30,$U104)</f>
        <v>DÉCEMBRE</v>
      </c>
      <c r="C104" s="691" cm="1">
        <f t="array" aca="1" ref="C104" ca="1">_xlfn.LET(_xlpm.w,INDEX(C$19:C$30,$U104),_xlpm.tot,SUMPRODUCT(C$19:C$30,$T$19:$T$30),_xlpm.n,C$14,_xlpm.cum,SUMPRODUCT((ROW($C$19:$C$30)-18&lt;$U104)*C$19:C$30*$T$19:$T$30)+$V104*_xlpm.w,IF(OR(_xlpm.n="",_xlpm.n=0,_xlpm.tot=0,_xlpm.w=0),0,ROUND(_xlpm.cum/_xlpm.tot*_xlpm.n,0)-ROUND((_xlpm.cum-_xlpm.w)/_xlpm.tot*_xlpm.n,0)))</f>
        <v>0</v>
      </c>
      <c r="D104" s="691" cm="1">
        <f t="array" aca="1" ref="D104" ca="1">_xlfn.LET(_xlpm.w,INDEX(D$19:D$30,$U104),_xlpm.tot,SUMPRODUCT(D$19:D$30,$T$19:$T$30),_xlpm.n,D$14,_xlpm.cum,SUMPRODUCT((ROW($C$19:$C$30)-18&lt;$U104)*D$19:D$30*$T$19:$T$30)+$V104*_xlpm.w,IF(OR(_xlpm.n="",_xlpm.n=0,_xlpm.tot=0,_xlpm.w=0),0,ROUND(_xlpm.cum/_xlpm.tot*_xlpm.n,0)-ROUND((_xlpm.cum-_xlpm.w)/_xlpm.tot*_xlpm.n,0)))</f>
        <v>0</v>
      </c>
      <c r="E104" s="691" cm="1">
        <f t="array" aca="1" ref="E104" ca="1">_xlfn.LET(_xlpm.w,INDEX(E$19:E$30,$U104),_xlpm.tot,SUMPRODUCT(E$19:E$30,$T$19:$T$30),_xlpm.n,E$14,_xlpm.cum,SUMPRODUCT((ROW($C$19:$C$30)-18&lt;$U104)*E$19:E$30*$T$19:$T$30)+$V104*_xlpm.w,IF(OR(_xlpm.n="",_xlpm.n=0,_xlpm.tot=0,_xlpm.w=0),0,ROUND(_xlpm.cum/_xlpm.tot*_xlpm.n,0)-ROUND((_xlpm.cum-_xlpm.w)/_xlpm.tot*_xlpm.n,0)))</f>
        <v>0</v>
      </c>
      <c r="F104" s="691" cm="1">
        <f t="array" aca="1" ref="F104" ca="1">_xlfn.LET(_xlpm.w,INDEX(F$19:F$30,$U104),_xlpm.tot,SUMPRODUCT(F$19:F$30,$T$19:$T$30),_xlpm.n,F$14,_xlpm.cum,SUMPRODUCT((ROW($C$19:$C$30)-18&lt;$U104)*F$19:F$30*$T$19:$T$30)+$V104*_xlpm.w,IF(OR(_xlpm.n="",_xlpm.n=0,_xlpm.tot=0,_xlpm.w=0),0,ROUND(_xlpm.cum/_xlpm.tot*_xlpm.n,0)-ROUND((_xlpm.cum-_xlpm.w)/_xlpm.tot*_xlpm.n,0)))</f>
        <v>1</v>
      </c>
      <c r="G104" s="691" cm="1">
        <f t="array" aca="1" ref="G104" ca="1">_xlfn.LET(_xlpm.w,INDEX(G$19:G$30,$U104),_xlpm.tot,SUMPRODUCT(G$19:G$30,$T$19:$T$30),_xlpm.n,G$14,_xlpm.cum,SUMPRODUCT((ROW($C$19:$C$30)-18&lt;$U104)*G$19:G$30*$T$19:$T$30)+$V104*_xlpm.w,IF(OR(_xlpm.n="",_xlpm.n=0,_xlpm.tot=0,_xlpm.w=0),0,ROUND(_xlpm.cum/_xlpm.tot*_xlpm.n,0)-ROUND((_xlpm.cum-_xlpm.w)/_xlpm.tot*_xlpm.n,0)))</f>
        <v>0</v>
      </c>
      <c r="H104" s="691" cm="1">
        <f t="array" aca="1" ref="H104" ca="1">_xlfn.LET(_xlpm.w,INDEX(H$19:H$30,$U104),_xlpm.tot,SUMPRODUCT(H$19:H$30,$T$19:$T$30),_xlpm.n,H$14,_xlpm.cum,SUMPRODUCT((ROW($C$19:$C$30)-18&lt;$U104)*H$19:H$30*$T$19:$T$30)+$V104*_xlpm.w,IF(OR(_xlpm.n="",_xlpm.n=0,_xlpm.tot=0,_xlpm.w=0),0,ROUND(_xlpm.cum/_xlpm.tot*_xlpm.n,0)-ROUND((_xlpm.cum-_xlpm.w)/_xlpm.tot*_xlpm.n,0)))</f>
        <v>0</v>
      </c>
      <c r="I104" s="691" cm="1">
        <f t="array" aca="1" ref="I104" ca="1">_xlfn.LET(_xlpm.w,INDEX(I$19:I$30,$U104),_xlpm.tot,SUMPRODUCT(I$19:I$30,$T$19:$T$30),_xlpm.n,I$14,_xlpm.cum,SUMPRODUCT((ROW($C$19:$C$30)-18&lt;$U104)*I$19:I$30*$T$19:$T$30)+$V104*_xlpm.w,IF(OR(_xlpm.n="",_xlpm.n=0,_xlpm.tot=0,_xlpm.w=0),0,ROUND(_xlpm.cum/_xlpm.tot*_xlpm.n,0)-ROUND((_xlpm.cum-_xlpm.w)/_xlpm.tot*_xlpm.n,0)))</f>
        <v>0</v>
      </c>
      <c r="J104" s="691" cm="1">
        <f t="array" aca="1" ref="J104" ca="1">_xlfn.LET(_xlpm.w,INDEX(J$19:J$30,$U104),_xlpm.tot,SUMPRODUCT(J$19:J$30,$T$19:$T$30),_xlpm.n,J$14,_xlpm.cum,SUMPRODUCT((ROW($C$19:$C$30)-18&lt;$U104)*J$19:J$30*$T$19:$T$30)+$V104*_xlpm.w,IF(OR(_xlpm.n="",_xlpm.n=0,_xlpm.tot=0,_xlpm.w=0),0,ROUND(_xlpm.cum/_xlpm.tot*_xlpm.n,0)-ROUND((_xlpm.cum-_xlpm.w)/_xlpm.tot*_xlpm.n,0)))</f>
        <v>0</v>
      </c>
      <c r="K104" s="691" cm="1">
        <f t="array" aca="1" ref="K104" ca="1">_xlfn.LET(_xlpm.w,INDEX(K$19:K$30,$U104),_xlpm.tot,SUMPRODUCT(K$19:K$30,$T$19:$T$30),_xlpm.n,K$14,_xlpm.cum,SUMPRODUCT((ROW($C$19:$C$30)-18&lt;$U104)*K$19:K$30*$T$19:$T$30)+$V104*_xlpm.w,IF(OR(_xlpm.n="",_xlpm.n=0,_xlpm.tot=0,_xlpm.w=0),0,ROUND(_xlpm.cum/_xlpm.tot*_xlpm.n,0)-ROUND((_xlpm.cum-_xlpm.w)/_xlpm.tot*_xlpm.n,0)))</f>
        <v>0</v>
      </c>
      <c r="L104" s="691" cm="1">
        <f t="array" aca="1" ref="L104" ca="1">_xlfn.LET(_xlpm.w,INDEX(L$19:L$30,$U104),_xlpm.tot,SUMPRODUCT(L$19:L$30,$T$19:$T$30),_xlpm.n,L$14,_xlpm.cum,SUMPRODUCT((ROW($C$19:$C$30)-18&lt;$U104)*L$19:L$30*$T$19:$T$30)+$V104*_xlpm.w,IF(OR(_xlpm.n="",_xlpm.n=0,_xlpm.tot=0,_xlpm.w=0),0,ROUND(_xlpm.cum/_xlpm.tot*_xlpm.n,0)-ROUND((_xlpm.cum-_xlpm.w)/_xlpm.tot*_xlpm.n,0)))</f>
        <v>0</v>
      </c>
      <c r="M104" s="691" cm="1">
        <f t="array" aca="1" ref="M104" ca="1">_xlfn.LET(_xlpm.w,INDEX(M$19:M$30,$U104),_xlpm.tot,SUMPRODUCT(M$19:M$30,$T$19:$T$30),_xlpm.n,M$14,_xlpm.cum,SUMPRODUCT((ROW($C$19:$C$30)-18&lt;$U104)*M$19:M$30*$T$19:$T$30)+$V104*_xlpm.w,IF(OR(_xlpm.n="",_xlpm.n=0,_xlpm.tot=0,_xlpm.w=0),0,ROUND(_xlpm.cum/_xlpm.tot*_xlpm.n,0)-ROUND((_xlpm.cum-_xlpm.w)/_xlpm.tot*_xlpm.n,0)))</f>
        <v>0</v>
      </c>
      <c r="N104" s="691" cm="1">
        <f t="array" aca="1" ref="N104" ca="1">_xlfn.LET(_xlpm.w,INDEX(N$19:N$30,$U104),_xlpm.tot,SUMPRODUCT(N$19:N$30,$T$19:$T$30),_xlpm.n,N$14,_xlpm.cum,SUMPRODUCT((ROW($C$19:$C$30)-18&lt;$U104)*N$19:N$30*$T$19:$T$30)+$V104*_xlpm.w,IF(OR(_xlpm.n="",_xlpm.n=0,_xlpm.tot=0,_xlpm.w=0),0,ROUND(_xlpm.cum/_xlpm.tot*_xlpm.n,0)-ROUND((_xlpm.cum-_xlpm.w)/_xlpm.tot*_xlpm.n,0)))</f>
        <v>0</v>
      </c>
      <c r="O104" s="691" cm="1">
        <f t="array" aca="1" ref="O104" ca="1">_xlfn.LET(_xlpm.w,INDEX(O$19:O$30,$U104),_xlpm.tot,SUMPRODUCT(O$19:O$30,$T$19:$T$30),_xlpm.n,O$14,_xlpm.cum,SUMPRODUCT((ROW($C$19:$C$30)-18&lt;$U104)*O$19:O$30*$T$19:$T$30)+$V104*_xlpm.w,IF(OR(_xlpm.n="",_xlpm.n=0,_xlpm.tot=0,_xlpm.w=0),0,ROUND(_xlpm.cum/_xlpm.tot*_xlpm.n,0)-ROUND((_xlpm.cum-_xlpm.w)/_xlpm.tot*_xlpm.n,0)))</f>
        <v>0</v>
      </c>
      <c r="P104" s="691" cm="1">
        <f t="array" aca="1" ref="P104" ca="1">_xlfn.LET(_xlpm.w,INDEX(P$19:P$30,$U104),_xlpm.tot,SUMPRODUCT(P$19:P$30,$T$19:$T$30),_xlpm.n,P$14,_xlpm.cum,SUMPRODUCT((ROW($C$19:$C$30)-18&lt;$U104)*P$19:P$30*$T$19:$T$30)+$V104*_xlpm.w,IF(OR(_xlpm.n="",_xlpm.n=0,_xlpm.tot=0,_xlpm.w=0),0,ROUND(_xlpm.cum/_xlpm.tot*_xlpm.n,0)-ROUND((_xlpm.cum-_xlpm.w)/_xlpm.tot*_xlpm.n,0)))</f>
        <v>0</v>
      </c>
      <c r="Q104" s="691" cm="1">
        <f t="array" aca="1" ref="Q104" ca="1">_xlfn.LET(_xlpm.w,INDEX(Q$19:Q$30,$U104),_xlpm.tot,SUMPRODUCT(Q$19:Q$30,$T$19:$T$30),_xlpm.n,Q$14,_xlpm.cum,SUMPRODUCT((ROW($C$19:$C$30)-18&lt;$U104)*Q$19:Q$30*$T$19:$T$30)+$V104*_xlpm.w,IF(OR(_xlpm.n="",_xlpm.n=0,_xlpm.tot=0,_xlpm.w=0),0,ROUND(_xlpm.cum/_xlpm.tot*_xlpm.n,0)-ROUND((_xlpm.cum-_xlpm.w)/_xlpm.tot*_xlpm.n,0)))</f>
        <v>0</v>
      </c>
      <c r="R104" s="691" cm="1">
        <f t="array" aca="1" ref="R104" ca="1">_xlfn.LET(_xlpm.w,INDEX(R$19:R$30,$U104),_xlpm.tot,SUMPRODUCT(R$19:R$30,$T$19:$T$30),_xlpm.n,R$14,_xlpm.cum,SUMPRODUCT((ROW($C$19:$C$30)-18&lt;$U104)*R$19:R$30*$T$19:$T$30)+$V104*_xlpm.w,IF(OR(_xlpm.n="",_xlpm.n=0,_xlpm.tot=0,_xlpm.w=0),0,ROUND(_xlpm.cum/_xlpm.tot*_xlpm.n,0)-ROUND((_xlpm.cum-_xlpm.w)/_xlpm.tot*_xlpm.n,0)))</f>
        <v>0</v>
      </c>
      <c r="S104" s="692">
        <f t="shared" ca="1" si="16"/>
        <v>1</v>
      </c>
      <c r="T104" s="693">
        <f t="shared" ca="1" si="17"/>
        <v>46359</v>
      </c>
      <c r="U104" s="694">
        <f t="shared" ca="1" si="18"/>
        <v>12</v>
      </c>
      <c r="V104" s="694">
        <f ca="1">COUNTIFS($U$56:$U104,$U104)</f>
        <v>1</v>
      </c>
      <c r="W104" s="695">
        <f t="shared" ca="1" si="19"/>
        <v>4.8</v>
      </c>
      <c r="X104" s="696" cm="1">
        <f t="array" aca="1" ref="X104" ca="1">INDEX($U$19:$U$30,$U104)</f>
        <v>20</v>
      </c>
      <c r="Y104" s="697">
        <f t="shared" ca="1" si="20"/>
        <v>0.24</v>
      </c>
      <c r="Z104" s="698" t="str">
        <f t="shared" ca="1" si="21"/>
        <v>OK</v>
      </c>
    </row>
    <row r="105" spans="1:26" ht="13.95" customHeight="1">
      <c r="A105" s="689">
        <f t="shared" si="22"/>
        <v>50</v>
      </c>
      <c r="B105" s="690" t="str" cm="1">
        <f t="array" aca="1" ref="B105" ca="1">INDEX($B$19:$B$30,$U105)</f>
        <v>DÉCEMBRE</v>
      </c>
      <c r="C105" s="691" cm="1">
        <f t="array" aca="1" ref="C105" ca="1">_xlfn.LET(_xlpm.w,INDEX(C$19:C$30,$U105),_xlpm.tot,SUMPRODUCT(C$19:C$30,$T$19:$T$30),_xlpm.n,C$14,_xlpm.cum,SUMPRODUCT((ROW($C$19:$C$30)-18&lt;$U105)*C$19:C$30*$T$19:$T$30)+$V105*_xlpm.w,IF(OR(_xlpm.n="",_xlpm.n=0,_xlpm.tot=0,_xlpm.w=0),0,ROUND(_xlpm.cum/_xlpm.tot*_xlpm.n,0)-ROUND((_xlpm.cum-_xlpm.w)/_xlpm.tot*_xlpm.n,0)))</f>
        <v>0</v>
      </c>
      <c r="D105" s="691" cm="1">
        <f t="array" aca="1" ref="D105" ca="1">_xlfn.LET(_xlpm.w,INDEX(D$19:D$30,$U105),_xlpm.tot,SUMPRODUCT(D$19:D$30,$T$19:$T$30),_xlpm.n,D$14,_xlpm.cum,SUMPRODUCT((ROW($C$19:$C$30)-18&lt;$U105)*D$19:D$30*$T$19:$T$30)+$V105*_xlpm.w,IF(OR(_xlpm.n="",_xlpm.n=0,_xlpm.tot=0,_xlpm.w=0),0,ROUND(_xlpm.cum/_xlpm.tot*_xlpm.n,0)-ROUND((_xlpm.cum-_xlpm.w)/_xlpm.tot*_xlpm.n,0)))</f>
        <v>0</v>
      </c>
      <c r="E105" s="691" cm="1">
        <f t="array" aca="1" ref="E105" ca="1">_xlfn.LET(_xlpm.w,INDEX(E$19:E$30,$U105),_xlpm.tot,SUMPRODUCT(E$19:E$30,$T$19:$T$30),_xlpm.n,E$14,_xlpm.cum,SUMPRODUCT((ROW($C$19:$C$30)-18&lt;$U105)*E$19:E$30*$T$19:$T$30)+$V105*_xlpm.w,IF(OR(_xlpm.n="",_xlpm.n=0,_xlpm.tot=0,_xlpm.w=0),0,ROUND(_xlpm.cum/_xlpm.tot*_xlpm.n,0)-ROUND((_xlpm.cum-_xlpm.w)/_xlpm.tot*_xlpm.n,0)))</f>
        <v>0</v>
      </c>
      <c r="F105" s="691" cm="1">
        <f t="array" aca="1" ref="F105" ca="1">_xlfn.LET(_xlpm.w,INDEX(F$19:F$30,$U105),_xlpm.tot,SUMPRODUCT(F$19:F$30,$T$19:$T$30),_xlpm.n,F$14,_xlpm.cum,SUMPRODUCT((ROW($C$19:$C$30)-18&lt;$U105)*F$19:F$30*$T$19:$T$30)+$V105*_xlpm.w,IF(OR(_xlpm.n="",_xlpm.n=0,_xlpm.tot=0,_xlpm.w=0),0,ROUND(_xlpm.cum/_xlpm.tot*_xlpm.n,0)-ROUND((_xlpm.cum-_xlpm.w)/_xlpm.tot*_xlpm.n,0)))</f>
        <v>1</v>
      </c>
      <c r="G105" s="691" cm="1">
        <f t="array" aca="1" ref="G105" ca="1">_xlfn.LET(_xlpm.w,INDEX(G$19:G$30,$U105),_xlpm.tot,SUMPRODUCT(G$19:G$30,$T$19:$T$30),_xlpm.n,G$14,_xlpm.cum,SUMPRODUCT((ROW($C$19:$C$30)-18&lt;$U105)*G$19:G$30*$T$19:$T$30)+$V105*_xlpm.w,IF(OR(_xlpm.n="",_xlpm.n=0,_xlpm.tot=0,_xlpm.w=0),0,ROUND(_xlpm.cum/_xlpm.tot*_xlpm.n,0)-ROUND((_xlpm.cum-_xlpm.w)/_xlpm.tot*_xlpm.n,0)))</f>
        <v>0</v>
      </c>
      <c r="H105" s="691" cm="1">
        <f t="array" aca="1" ref="H105" ca="1">_xlfn.LET(_xlpm.w,INDEX(H$19:H$30,$U105),_xlpm.tot,SUMPRODUCT(H$19:H$30,$T$19:$T$30),_xlpm.n,H$14,_xlpm.cum,SUMPRODUCT((ROW($C$19:$C$30)-18&lt;$U105)*H$19:H$30*$T$19:$T$30)+$V105*_xlpm.w,IF(OR(_xlpm.n="",_xlpm.n=0,_xlpm.tot=0,_xlpm.w=0),0,ROUND(_xlpm.cum/_xlpm.tot*_xlpm.n,0)-ROUND((_xlpm.cum-_xlpm.w)/_xlpm.tot*_xlpm.n,0)))</f>
        <v>0</v>
      </c>
      <c r="I105" s="691" cm="1">
        <f t="array" aca="1" ref="I105" ca="1">_xlfn.LET(_xlpm.w,INDEX(I$19:I$30,$U105),_xlpm.tot,SUMPRODUCT(I$19:I$30,$T$19:$T$30),_xlpm.n,I$14,_xlpm.cum,SUMPRODUCT((ROW($C$19:$C$30)-18&lt;$U105)*I$19:I$30*$T$19:$T$30)+$V105*_xlpm.w,IF(OR(_xlpm.n="",_xlpm.n=0,_xlpm.tot=0,_xlpm.w=0),0,ROUND(_xlpm.cum/_xlpm.tot*_xlpm.n,0)-ROUND((_xlpm.cum-_xlpm.w)/_xlpm.tot*_xlpm.n,0)))</f>
        <v>0</v>
      </c>
      <c r="J105" s="691" cm="1">
        <f t="array" aca="1" ref="J105" ca="1">_xlfn.LET(_xlpm.w,INDEX(J$19:J$30,$U105),_xlpm.tot,SUMPRODUCT(J$19:J$30,$T$19:$T$30),_xlpm.n,J$14,_xlpm.cum,SUMPRODUCT((ROW($C$19:$C$30)-18&lt;$U105)*J$19:J$30*$T$19:$T$30)+$V105*_xlpm.w,IF(OR(_xlpm.n="",_xlpm.n=0,_xlpm.tot=0,_xlpm.w=0),0,ROUND(_xlpm.cum/_xlpm.tot*_xlpm.n,0)-ROUND((_xlpm.cum-_xlpm.w)/_xlpm.tot*_xlpm.n,0)))</f>
        <v>0</v>
      </c>
      <c r="K105" s="691" cm="1">
        <f t="array" aca="1" ref="K105" ca="1">_xlfn.LET(_xlpm.w,INDEX(K$19:K$30,$U105),_xlpm.tot,SUMPRODUCT(K$19:K$30,$T$19:$T$30),_xlpm.n,K$14,_xlpm.cum,SUMPRODUCT((ROW($C$19:$C$30)-18&lt;$U105)*K$19:K$30*$T$19:$T$30)+$V105*_xlpm.w,IF(OR(_xlpm.n="",_xlpm.n=0,_xlpm.tot=0,_xlpm.w=0),0,ROUND(_xlpm.cum/_xlpm.tot*_xlpm.n,0)-ROUND((_xlpm.cum-_xlpm.w)/_xlpm.tot*_xlpm.n,0)))</f>
        <v>0</v>
      </c>
      <c r="L105" s="691" cm="1">
        <f t="array" aca="1" ref="L105" ca="1">_xlfn.LET(_xlpm.w,INDEX(L$19:L$30,$U105),_xlpm.tot,SUMPRODUCT(L$19:L$30,$T$19:$T$30),_xlpm.n,L$14,_xlpm.cum,SUMPRODUCT((ROW($C$19:$C$30)-18&lt;$U105)*L$19:L$30*$T$19:$T$30)+$V105*_xlpm.w,IF(OR(_xlpm.n="",_xlpm.n=0,_xlpm.tot=0,_xlpm.w=0),0,ROUND(_xlpm.cum/_xlpm.tot*_xlpm.n,0)-ROUND((_xlpm.cum-_xlpm.w)/_xlpm.tot*_xlpm.n,0)))</f>
        <v>0</v>
      </c>
      <c r="M105" s="691" cm="1">
        <f t="array" aca="1" ref="M105" ca="1">_xlfn.LET(_xlpm.w,INDEX(M$19:M$30,$U105),_xlpm.tot,SUMPRODUCT(M$19:M$30,$T$19:$T$30),_xlpm.n,M$14,_xlpm.cum,SUMPRODUCT((ROW($C$19:$C$30)-18&lt;$U105)*M$19:M$30*$T$19:$T$30)+$V105*_xlpm.w,IF(OR(_xlpm.n="",_xlpm.n=0,_xlpm.tot=0,_xlpm.w=0),0,ROUND(_xlpm.cum/_xlpm.tot*_xlpm.n,0)-ROUND((_xlpm.cum-_xlpm.w)/_xlpm.tot*_xlpm.n,0)))</f>
        <v>0</v>
      </c>
      <c r="N105" s="691" cm="1">
        <f t="array" aca="1" ref="N105" ca="1">_xlfn.LET(_xlpm.w,INDEX(N$19:N$30,$U105),_xlpm.tot,SUMPRODUCT(N$19:N$30,$T$19:$T$30),_xlpm.n,N$14,_xlpm.cum,SUMPRODUCT((ROW($C$19:$C$30)-18&lt;$U105)*N$19:N$30*$T$19:$T$30)+$V105*_xlpm.w,IF(OR(_xlpm.n="",_xlpm.n=0,_xlpm.tot=0,_xlpm.w=0),0,ROUND(_xlpm.cum/_xlpm.tot*_xlpm.n,0)-ROUND((_xlpm.cum-_xlpm.w)/_xlpm.tot*_xlpm.n,0)))</f>
        <v>0</v>
      </c>
      <c r="O105" s="691" cm="1">
        <f t="array" aca="1" ref="O105" ca="1">_xlfn.LET(_xlpm.w,INDEX(O$19:O$30,$U105),_xlpm.tot,SUMPRODUCT(O$19:O$30,$T$19:$T$30),_xlpm.n,O$14,_xlpm.cum,SUMPRODUCT((ROW($C$19:$C$30)-18&lt;$U105)*O$19:O$30*$T$19:$T$30)+$V105*_xlpm.w,IF(OR(_xlpm.n="",_xlpm.n=0,_xlpm.tot=0,_xlpm.w=0),0,ROUND(_xlpm.cum/_xlpm.tot*_xlpm.n,0)-ROUND((_xlpm.cum-_xlpm.w)/_xlpm.tot*_xlpm.n,0)))</f>
        <v>0</v>
      </c>
      <c r="P105" s="691" cm="1">
        <f t="array" aca="1" ref="P105" ca="1">_xlfn.LET(_xlpm.w,INDEX(P$19:P$30,$U105),_xlpm.tot,SUMPRODUCT(P$19:P$30,$T$19:$T$30),_xlpm.n,P$14,_xlpm.cum,SUMPRODUCT((ROW($C$19:$C$30)-18&lt;$U105)*P$19:P$30*$T$19:$T$30)+$V105*_xlpm.w,IF(OR(_xlpm.n="",_xlpm.n=0,_xlpm.tot=0,_xlpm.w=0),0,ROUND(_xlpm.cum/_xlpm.tot*_xlpm.n,0)-ROUND((_xlpm.cum-_xlpm.w)/_xlpm.tot*_xlpm.n,0)))</f>
        <v>0</v>
      </c>
      <c r="Q105" s="691" cm="1">
        <f t="array" aca="1" ref="Q105" ca="1">_xlfn.LET(_xlpm.w,INDEX(Q$19:Q$30,$U105),_xlpm.tot,SUMPRODUCT(Q$19:Q$30,$T$19:$T$30),_xlpm.n,Q$14,_xlpm.cum,SUMPRODUCT((ROW($C$19:$C$30)-18&lt;$U105)*Q$19:Q$30*$T$19:$T$30)+$V105*_xlpm.w,IF(OR(_xlpm.n="",_xlpm.n=0,_xlpm.tot=0,_xlpm.w=0),0,ROUND(_xlpm.cum/_xlpm.tot*_xlpm.n,0)-ROUND((_xlpm.cum-_xlpm.w)/_xlpm.tot*_xlpm.n,0)))</f>
        <v>0</v>
      </c>
      <c r="R105" s="691" cm="1">
        <f t="array" aca="1" ref="R105" ca="1">_xlfn.LET(_xlpm.w,INDEX(R$19:R$30,$U105),_xlpm.tot,SUMPRODUCT(R$19:R$30,$T$19:$T$30),_xlpm.n,R$14,_xlpm.cum,SUMPRODUCT((ROW($C$19:$C$30)-18&lt;$U105)*R$19:R$30*$T$19:$T$30)+$V105*_xlpm.w,IF(OR(_xlpm.n="",_xlpm.n=0,_xlpm.tot=0,_xlpm.w=0),0,ROUND(_xlpm.cum/_xlpm.tot*_xlpm.n,0)-ROUND((_xlpm.cum-_xlpm.w)/_xlpm.tot*_xlpm.n,0)))</f>
        <v>0</v>
      </c>
      <c r="S105" s="692">
        <f t="shared" ca="1" si="16"/>
        <v>1</v>
      </c>
      <c r="T105" s="693">
        <f t="shared" ca="1" si="17"/>
        <v>46366</v>
      </c>
      <c r="U105" s="694">
        <f t="shared" ca="1" si="18"/>
        <v>12</v>
      </c>
      <c r="V105" s="694">
        <f ca="1">COUNTIFS($U$56:$U105,$U105)</f>
        <v>2</v>
      </c>
      <c r="W105" s="695">
        <f t="shared" ca="1" si="19"/>
        <v>4.8</v>
      </c>
      <c r="X105" s="696" cm="1">
        <f t="array" aca="1" ref="X105" ca="1">INDEX($U$19:$U$30,$U105)</f>
        <v>20</v>
      </c>
      <c r="Y105" s="697">
        <f t="shared" ca="1" si="20"/>
        <v>0.24</v>
      </c>
      <c r="Z105" s="698" t="str">
        <f t="shared" ca="1" si="21"/>
        <v>OK</v>
      </c>
    </row>
    <row r="106" spans="1:26" ht="13.95" customHeight="1">
      <c r="A106" s="689">
        <f t="shared" si="22"/>
        <v>51</v>
      </c>
      <c r="B106" s="690" t="str" cm="1">
        <f t="array" aca="1" ref="B106" ca="1">INDEX($B$19:$B$30,$U106)</f>
        <v>DÉCEMBRE</v>
      </c>
      <c r="C106" s="691" cm="1">
        <f t="array" aca="1" ref="C106" ca="1">_xlfn.LET(_xlpm.w,INDEX(C$19:C$30,$U106),_xlpm.tot,SUMPRODUCT(C$19:C$30,$T$19:$T$30),_xlpm.n,C$14,_xlpm.cum,SUMPRODUCT((ROW($C$19:$C$30)-18&lt;$U106)*C$19:C$30*$T$19:$T$30)+$V106*_xlpm.w,IF(OR(_xlpm.n="",_xlpm.n=0,_xlpm.tot=0,_xlpm.w=0),0,ROUND(_xlpm.cum/_xlpm.tot*_xlpm.n,0)-ROUND((_xlpm.cum-_xlpm.w)/_xlpm.tot*_xlpm.n,0)))</f>
        <v>0</v>
      </c>
      <c r="D106" s="691" cm="1">
        <f t="array" aca="1" ref="D106" ca="1">_xlfn.LET(_xlpm.w,INDEX(D$19:D$30,$U106),_xlpm.tot,SUMPRODUCT(D$19:D$30,$T$19:$T$30),_xlpm.n,D$14,_xlpm.cum,SUMPRODUCT((ROW($C$19:$C$30)-18&lt;$U106)*D$19:D$30*$T$19:$T$30)+$V106*_xlpm.w,IF(OR(_xlpm.n="",_xlpm.n=0,_xlpm.tot=0,_xlpm.w=0),0,ROUND(_xlpm.cum/_xlpm.tot*_xlpm.n,0)-ROUND((_xlpm.cum-_xlpm.w)/_xlpm.tot*_xlpm.n,0)))</f>
        <v>1</v>
      </c>
      <c r="E106" s="691" cm="1">
        <f t="array" aca="1" ref="E106" ca="1">_xlfn.LET(_xlpm.w,INDEX(E$19:E$30,$U106),_xlpm.tot,SUMPRODUCT(E$19:E$30,$T$19:$T$30),_xlpm.n,E$14,_xlpm.cum,SUMPRODUCT((ROW($C$19:$C$30)-18&lt;$U106)*E$19:E$30*$T$19:$T$30)+$V106*_xlpm.w,IF(OR(_xlpm.n="",_xlpm.n=0,_xlpm.tot=0,_xlpm.w=0),0,ROUND(_xlpm.cum/_xlpm.tot*_xlpm.n,0)-ROUND((_xlpm.cum-_xlpm.w)/_xlpm.tot*_xlpm.n,0)))</f>
        <v>0</v>
      </c>
      <c r="F106" s="691" cm="1">
        <f t="array" aca="1" ref="F106" ca="1">_xlfn.LET(_xlpm.w,INDEX(F$19:F$30,$U106),_xlpm.tot,SUMPRODUCT(F$19:F$30,$T$19:$T$30),_xlpm.n,F$14,_xlpm.cum,SUMPRODUCT((ROW($C$19:$C$30)-18&lt;$U106)*F$19:F$30*$T$19:$T$30)+$V106*_xlpm.w,IF(OR(_xlpm.n="",_xlpm.n=0,_xlpm.tot=0,_xlpm.w=0),0,ROUND(_xlpm.cum/_xlpm.tot*_xlpm.n,0)-ROUND((_xlpm.cum-_xlpm.w)/_xlpm.tot*_xlpm.n,0)))</f>
        <v>0</v>
      </c>
      <c r="G106" s="691" cm="1">
        <f t="array" aca="1" ref="G106" ca="1">_xlfn.LET(_xlpm.w,INDEX(G$19:G$30,$U106),_xlpm.tot,SUMPRODUCT(G$19:G$30,$T$19:$T$30),_xlpm.n,G$14,_xlpm.cum,SUMPRODUCT((ROW($C$19:$C$30)-18&lt;$U106)*G$19:G$30*$T$19:$T$30)+$V106*_xlpm.w,IF(OR(_xlpm.n="",_xlpm.n=0,_xlpm.tot=0,_xlpm.w=0),0,ROUND(_xlpm.cum/_xlpm.tot*_xlpm.n,0)-ROUND((_xlpm.cum-_xlpm.w)/_xlpm.tot*_xlpm.n,0)))</f>
        <v>0</v>
      </c>
      <c r="H106" s="691" cm="1">
        <f t="array" aca="1" ref="H106" ca="1">_xlfn.LET(_xlpm.w,INDEX(H$19:H$30,$U106),_xlpm.tot,SUMPRODUCT(H$19:H$30,$T$19:$T$30),_xlpm.n,H$14,_xlpm.cum,SUMPRODUCT((ROW($C$19:$C$30)-18&lt;$U106)*H$19:H$30*$T$19:$T$30)+$V106*_xlpm.w,IF(OR(_xlpm.n="",_xlpm.n=0,_xlpm.tot=0,_xlpm.w=0),0,ROUND(_xlpm.cum/_xlpm.tot*_xlpm.n,0)-ROUND((_xlpm.cum-_xlpm.w)/_xlpm.tot*_xlpm.n,0)))</f>
        <v>0</v>
      </c>
      <c r="I106" s="691" cm="1">
        <f t="array" aca="1" ref="I106" ca="1">_xlfn.LET(_xlpm.w,INDEX(I$19:I$30,$U106),_xlpm.tot,SUMPRODUCT(I$19:I$30,$T$19:$T$30),_xlpm.n,I$14,_xlpm.cum,SUMPRODUCT((ROW($C$19:$C$30)-18&lt;$U106)*I$19:I$30*$T$19:$T$30)+$V106*_xlpm.w,IF(OR(_xlpm.n="",_xlpm.n=0,_xlpm.tot=0,_xlpm.w=0),0,ROUND(_xlpm.cum/_xlpm.tot*_xlpm.n,0)-ROUND((_xlpm.cum-_xlpm.w)/_xlpm.tot*_xlpm.n,0)))</f>
        <v>0</v>
      </c>
      <c r="J106" s="691" cm="1">
        <f t="array" aca="1" ref="J106" ca="1">_xlfn.LET(_xlpm.w,INDEX(J$19:J$30,$U106),_xlpm.tot,SUMPRODUCT(J$19:J$30,$T$19:$T$30),_xlpm.n,J$14,_xlpm.cum,SUMPRODUCT((ROW($C$19:$C$30)-18&lt;$U106)*J$19:J$30*$T$19:$T$30)+$V106*_xlpm.w,IF(OR(_xlpm.n="",_xlpm.n=0,_xlpm.tot=0,_xlpm.w=0),0,ROUND(_xlpm.cum/_xlpm.tot*_xlpm.n,0)-ROUND((_xlpm.cum-_xlpm.w)/_xlpm.tot*_xlpm.n,0)))</f>
        <v>0</v>
      </c>
      <c r="K106" s="691" cm="1">
        <f t="array" aca="1" ref="K106" ca="1">_xlfn.LET(_xlpm.w,INDEX(K$19:K$30,$U106),_xlpm.tot,SUMPRODUCT(K$19:K$30,$T$19:$T$30),_xlpm.n,K$14,_xlpm.cum,SUMPRODUCT((ROW($C$19:$C$30)-18&lt;$U106)*K$19:K$30*$T$19:$T$30)+$V106*_xlpm.w,IF(OR(_xlpm.n="",_xlpm.n=0,_xlpm.tot=0,_xlpm.w=0),0,ROUND(_xlpm.cum/_xlpm.tot*_xlpm.n,0)-ROUND((_xlpm.cum-_xlpm.w)/_xlpm.tot*_xlpm.n,0)))</f>
        <v>0</v>
      </c>
      <c r="L106" s="691" cm="1">
        <f t="array" aca="1" ref="L106" ca="1">_xlfn.LET(_xlpm.w,INDEX(L$19:L$30,$U106),_xlpm.tot,SUMPRODUCT(L$19:L$30,$T$19:$T$30),_xlpm.n,L$14,_xlpm.cum,SUMPRODUCT((ROW($C$19:$C$30)-18&lt;$U106)*L$19:L$30*$T$19:$T$30)+$V106*_xlpm.w,IF(OR(_xlpm.n="",_xlpm.n=0,_xlpm.tot=0,_xlpm.w=0),0,ROUND(_xlpm.cum/_xlpm.tot*_xlpm.n,0)-ROUND((_xlpm.cum-_xlpm.w)/_xlpm.tot*_xlpm.n,0)))</f>
        <v>0</v>
      </c>
      <c r="M106" s="691" cm="1">
        <f t="array" aca="1" ref="M106" ca="1">_xlfn.LET(_xlpm.w,INDEX(M$19:M$30,$U106),_xlpm.tot,SUMPRODUCT(M$19:M$30,$T$19:$T$30),_xlpm.n,M$14,_xlpm.cum,SUMPRODUCT((ROW($C$19:$C$30)-18&lt;$U106)*M$19:M$30*$T$19:$T$30)+$V106*_xlpm.w,IF(OR(_xlpm.n="",_xlpm.n=0,_xlpm.tot=0,_xlpm.w=0),0,ROUND(_xlpm.cum/_xlpm.tot*_xlpm.n,0)-ROUND((_xlpm.cum-_xlpm.w)/_xlpm.tot*_xlpm.n,0)))</f>
        <v>0</v>
      </c>
      <c r="N106" s="691" cm="1">
        <f t="array" aca="1" ref="N106" ca="1">_xlfn.LET(_xlpm.w,INDEX(N$19:N$30,$U106),_xlpm.tot,SUMPRODUCT(N$19:N$30,$T$19:$T$30),_xlpm.n,N$14,_xlpm.cum,SUMPRODUCT((ROW($C$19:$C$30)-18&lt;$U106)*N$19:N$30*$T$19:$T$30)+$V106*_xlpm.w,IF(OR(_xlpm.n="",_xlpm.n=0,_xlpm.tot=0,_xlpm.w=0),0,ROUND(_xlpm.cum/_xlpm.tot*_xlpm.n,0)-ROUND((_xlpm.cum-_xlpm.w)/_xlpm.tot*_xlpm.n,0)))</f>
        <v>0</v>
      </c>
      <c r="O106" s="691" cm="1">
        <f t="array" aca="1" ref="O106" ca="1">_xlfn.LET(_xlpm.w,INDEX(O$19:O$30,$U106),_xlpm.tot,SUMPRODUCT(O$19:O$30,$T$19:$T$30),_xlpm.n,O$14,_xlpm.cum,SUMPRODUCT((ROW($C$19:$C$30)-18&lt;$U106)*O$19:O$30*$T$19:$T$30)+$V106*_xlpm.w,IF(OR(_xlpm.n="",_xlpm.n=0,_xlpm.tot=0,_xlpm.w=0),0,ROUND(_xlpm.cum/_xlpm.tot*_xlpm.n,0)-ROUND((_xlpm.cum-_xlpm.w)/_xlpm.tot*_xlpm.n,0)))</f>
        <v>0</v>
      </c>
      <c r="P106" s="691" cm="1">
        <f t="array" aca="1" ref="P106" ca="1">_xlfn.LET(_xlpm.w,INDEX(P$19:P$30,$U106),_xlpm.tot,SUMPRODUCT(P$19:P$30,$T$19:$T$30),_xlpm.n,P$14,_xlpm.cum,SUMPRODUCT((ROW($C$19:$C$30)-18&lt;$U106)*P$19:P$30*$T$19:$T$30)+$V106*_xlpm.w,IF(OR(_xlpm.n="",_xlpm.n=0,_xlpm.tot=0,_xlpm.w=0),0,ROUND(_xlpm.cum/_xlpm.tot*_xlpm.n,0)-ROUND((_xlpm.cum-_xlpm.w)/_xlpm.tot*_xlpm.n,0)))</f>
        <v>0</v>
      </c>
      <c r="Q106" s="691" cm="1">
        <f t="array" aca="1" ref="Q106" ca="1">_xlfn.LET(_xlpm.w,INDEX(Q$19:Q$30,$U106),_xlpm.tot,SUMPRODUCT(Q$19:Q$30,$T$19:$T$30),_xlpm.n,Q$14,_xlpm.cum,SUMPRODUCT((ROW($C$19:$C$30)-18&lt;$U106)*Q$19:Q$30*$T$19:$T$30)+$V106*_xlpm.w,IF(OR(_xlpm.n="",_xlpm.n=0,_xlpm.tot=0,_xlpm.w=0),0,ROUND(_xlpm.cum/_xlpm.tot*_xlpm.n,0)-ROUND((_xlpm.cum-_xlpm.w)/_xlpm.tot*_xlpm.n,0)))</f>
        <v>0</v>
      </c>
      <c r="R106" s="691" cm="1">
        <f t="array" aca="1" ref="R106" ca="1">_xlfn.LET(_xlpm.w,INDEX(R$19:R$30,$U106),_xlpm.tot,SUMPRODUCT(R$19:R$30,$T$19:$T$30),_xlpm.n,R$14,_xlpm.cum,SUMPRODUCT((ROW($C$19:$C$30)-18&lt;$U106)*R$19:R$30*$T$19:$T$30)+$V106*_xlpm.w,IF(OR(_xlpm.n="",_xlpm.n=0,_xlpm.tot=0,_xlpm.w=0),0,ROUND(_xlpm.cum/_xlpm.tot*_xlpm.n,0)-ROUND((_xlpm.cum-_xlpm.w)/_xlpm.tot*_xlpm.n,0)))</f>
        <v>0</v>
      </c>
      <c r="S106" s="692">
        <f t="shared" ca="1" si="16"/>
        <v>1</v>
      </c>
      <c r="T106" s="693">
        <f t="shared" ca="1" si="17"/>
        <v>46373</v>
      </c>
      <c r="U106" s="694">
        <f t="shared" ca="1" si="18"/>
        <v>12</v>
      </c>
      <c r="V106" s="694">
        <f ca="1">COUNTIFS($U$56:$U106,$U106)</f>
        <v>3</v>
      </c>
      <c r="W106" s="695">
        <f t="shared" ca="1" si="19"/>
        <v>4.8</v>
      </c>
      <c r="X106" s="696" cm="1">
        <f t="array" aca="1" ref="X106" ca="1">INDEX($U$19:$U$30,$U106)</f>
        <v>20</v>
      </c>
      <c r="Y106" s="697">
        <f t="shared" ca="1" si="20"/>
        <v>0.24</v>
      </c>
      <c r="Z106" s="698" t="str">
        <f t="shared" ca="1" si="21"/>
        <v>OK</v>
      </c>
    </row>
    <row r="107" spans="1:26" ht="13.95" customHeight="1">
      <c r="A107" s="699">
        <f t="shared" si="22"/>
        <v>52</v>
      </c>
      <c r="B107" s="700" t="str" cm="1">
        <f t="array" aca="1" ref="B107" ca="1">INDEX($B$19:$B$30,$U107)</f>
        <v>DÉCEMBRE</v>
      </c>
      <c r="C107" s="691" cm="1">
        <f t="array" aca="1" ref="C107" ca="1">_xlfn.LET(_xlpm.w,INDEX(C$19:C$30,$U107),_xlpm.tot,SUMPRODUCT(C$19:C$30,$T$19:$T$30),_xlpm.n,C$14,_xlpm.cum,SUMPRODUCT((ROW($C$19:$C$30)-18&lt;$U107)*C$19:C$30*$T$19:$T$30)+$V107*_xlpm.w,IF(OR(_xlpm.n="",_xlpm.n=0,_xlpm.tot=0,_xlpm.w=0),0,ROUND(_xlpm.cum/_xlpm.tot*_xlpm.n,0)-ROUND((_xlpm.cum-_xlpm.w)/_xlpm.tot*_xlpm.n,0)))</f>
        <v>0</v>
      </c>
      <c r="D107" s="691" cm="1">
        <f t="array" aca="1" ref="D107" ca="1">_xlfn.LET(_xlpm.w,INDEX(D$19:D$30,$U107),_xlpm.tot,SUMPRODUCT(D$19:D$30,$T$19:$T$30),_xlpm.n,D$14,_xlpm.cum,SUMPRODUCT((ROW($C$19:$C$30)-18&lt;$U107)*D$19:D$30*$T$19:$T$30)+$V107*_xlpm.w,IF(OR(_xlpm.n="",_xlpm.n=0,_xlpm.tot=0,_xlpm.w=0),0,ROUND(_xlpm.cum/_xlpm.tot*_xlpm.n,0)-ROUND((_xlpm.cum-_xlpm.w)/_xlpm.tot*_xlpm.n,0)))</f>
        <v>0</v>
      </c>
      <c r="E107" s="691" cm="1">
        <f t="array" aca="1" ref="E107" ca="1">_xlfn.LET(_xlpm.w,INDEX(E$19:E$30,$U107),_xlpm.tot,SUMPRODUCT(E$19:E$30,$T$19:$T$30),_xlpm.n,E$14,_xlpm.cum,SUMPRODUCT((ROW($C$19:$C$30)-18&lt;$U107)*E$19:E$30*$T$19:$T$30)+$V107*_xlpm.w,IF(OR(_xlpm.n="",_xlpm.n=0,_xlpm.tot=0,_xlpm.w=0),0,ROUND(_xlpm.cum/_xlpm.tot*_xlpm.n,0)-ROUND((_xlpm.cum-_xlpm.w)/_xlpm.tot*_xlpm.n,0)))</f>
        <v>0</v>
      </c>
      <c r="F107" s="691" cm="1">
        <f t="array" aca="1" ref="F107" ca="1">_xlfn.LET(_xlpm.w,INDEX(F$19:F$30,$U107),_xlpm.tot,SUMPRODUCT(F$19:F$30,$T$19:$T$30),_xlpm.n,F$14,_xlpm.cum,SUMPRODUCT((ROW($C$19:$C$30)-18&lt;$U107)*F$19:F$30*$T$19:$T$30)+$V107*_xlpm.w,IF(OR(_xlpm.n="",_xlpm.n=0,_xlpm.tot=0,_xlpm.w=0),0,ROUND(_xlpm.cum/_xlpm.tot*_xlpm.n,0)-ROUND((_xlpm.cum-_xlpm.w)/_xlpm.tot*_xlpm.n,0)))</f>
        <v>1</v>
      </c>
      <c r="G107" s="691" cm="1">
        <f t="array" aca="1" ref="G107" ca="1">_xlfn.LET(_xlpm.w,INDEX(G$19:G$30,$U107),_xlpm.tot,SUMPRODUCT(G$19:G$30,$T$19:$T$30),_xlpm.n,G$14,_xlpm.cum,SUMPRODUCT((ROW($C$19:$C$30)-18&lt;$U107)*G$19:G$30*$T$19:$T$30)+$V107*_xlpm.w,IF(OR(_xlpm.n="",_xlpm.n=0,_xlpm.tot=0,_xlpm.w=0),0,ROUND(_xlpm.cum/_xlpm.tot*_xlpm.n,0)-ROUND((_xlpm.cum-_xlpm.w)/_xlpm.tot*_xlpm.n,0)))</f>
        <v>0</v>
      </c>
      <c r="H107" s="691" cm="1">
        <f t="array" aca="1" ref="H107" ca="1">_xlfn.LET(_xlpm.w,INDEX(H$19:H$30,$U107),_xlpm.tot,SUMPRODUCT(H$19:H$30,$T$19:$T$30),_xlpm.n,H$14,_xlpm.cum,SUMPRODUCT((ROW($C$19:$C$30)-18&lt;$U107)*H$19:H$30*$T$19:$T$30)+$V107*_xlpm.w,IF(OR(_xlpm.n="",_xlpm.n=0,_xlpm.tot=0,_xlpm.w=0),0,ROUND(_xlpm.cum/_xlpm.tot*_xlpm.n,0)-ROUND((_xlpm.cum-_xlpm.w)/_xlpm.tot*_xlpm.n,0)))</f>
        <v>0</v>
      </c>
      <c r="I107" s="691" cm="1">
        <f t="array" aca="1" ref="I107" ca="1">_xlfn.LET(_xlpm.w,INDEX(I$19:I$30,$U107),_xlpm.tot,SUMPRODUCT(I$19:I$30,$T$19:$T$30),_xlpm.n,I$14,_xlpm.cum,SUMPRODUCT((ROW($C$19:$C$30)-18&lt;$U107)*I$19:I$30*$T$19:$T$30)+$V107*_xlpm.w,IF(OR(_xlpm.n="",_xlpm.n=0,_xlpm.tot=0,_xlpm.w=0),0,ROUND(_xlpm.cum/_xlpm.tot*_xlpm.n,0)-ROUND((_xlpm.cum-_xlpm.w)/_xlpm.tot*_xlpm.n,0)))</f>
        <v>0</v>
      </c>
      <c r="J107" s="691" cm="1">
        <f t="array" aca="1" ref="J107" ca="1">_xlfn.LET(_xlpm.w,INDEX(J$19:J$30,$U107),_xlpm.tot,SUMPRODUCT(J$19:J$30,$T$19:$T$30),_xlpm.n,J$14,_xlpm.cum,SUMPRODUCT((ROW($C$19:$C$30)-18&lt;$U107)*J$19:J$30*$T$19:$T$30)+$V107*_xlpm.w,IF(OR(_xlpm.n="",_xlpm.n=0,_xlpm.tot=0,_xlpm.w=0),0,ROUND(_xlpm.cum/_xlpm.tot*_xlpm.n,0)-ROUND((_xlpm.cum-_xlpm.w)/_xlpm.tot*_xlpm.n,0)))</f>
        <v>0</v>
      </c>
      <c r="K107" s="691" cm="1">
        <f t="array" aca="1" ref="K107" ca="1">_xlfn.LET(_xlpm.w,INDEX(K$19:K$30,$U107),_xlpm.tot,SUMPRODUCT(K$19:K$30,$T$19:$T$30),_xlpm.n,K$14,_xlpm.cum,SUMPRODUCT((ROW($C$19:$C$30)-18&lt;$U107)*K$19:K$30*$T$19:$T$30)+$V107*_xlpm.w,IF(OR(_xlpm.n="",_xlpm.n=0,_xlpm.tot=0,_xlpm.w=0),0,ROUND(_xlpm.cum/_xlpm.tot*_xlpm.n,0)-ROUND((_xlpm.cum-_xlpm.w)/_xlpm.tot*_xlpm.n,0)))</f>
        <v>0</v>
      </c>
      <c r="L107" s="691" cm="1">
        <f t="array" aca="1" ref="L107" ca="1">_xlfn.LET(_xlpm.w,INDEX(L$19:L$30,$U107),_xlpm.tot,SUMPRODUCT(L$19:L$30,$T$19:$T$30),_xlpm.n,L$14,_xlpm.cum,SUMPRODUCT((ROW($C$19:$C$30)-18&lt;$U107)*L$19:L$30*$T$19:$T$30)+$V107*_xlpm.w,IF(OR(_xlpm.n="",_xlpm.n=0,_xlpm.tot=0,_xlpm.w=0),0,ROUND(_xlpm.cum/_xlpm.tot*_xlpm.n,0)-ROUND((_xlpm.cum-_xlpm.w)/_xlpm.tot*_xlpm.n,0)))</f>
        <v>0</v>
      </c>
      <c r="M107" s="691" cm="1">
        <f t="array" aca="1" ref="M107" ca="1">_xlfn.LET(_xlpm.w,INDEX(M$19:M$30,$U107),_xlpm.tot,SUMPRODUCT(M$19:M$30,$T$19:$T$30),_xlpm.n,M$14,_xlpm.cum,SUMPRODUCT((ROW($C$19:$C$30)-18&lt;$U107)*M$19:M$30*$T$19:$T$30)+$V107*_xlpm.w,IF(OR(_xlpm.n="",_xlpm.n=0,_xlpm.tot=0,_xlpm.w=0),0,ROUND(_xlpm.cum/_xlpm.tot*_xlpm.n,0)-ROUND((_xlpm.cum-_xlpm.w)/_xlpm.tot*_xlpm.n,0)))</f>
        <v>0</v>
      </c>
      <c r="N107" s="691" cm="1">
        <f t="array" aca="1" ref="N107" ca="1">_xlfn.LET(_xlpm.w,INDEX(N$19:N$30,$U107),_xlpm.tot,SUMPRODUCT(N$19:N$30,$T$19:$T$30),_xlpm.n,N$14,_xlpm.cum,SUMPRODUCT((ROW($C$19:$C$30)-18&lt;$U107)*N$19:N$30*$T$19:$T$30)+$V107*_xlpm.w,IF(OR(_xlpm.n="",_xlpm.n=0,_xlpm.tot=0,_xlpm.w=0),0,ROUND(_xlpm.cum/_xlpm.tot*_xlpm.n,0)-ROUND((_xlpm.cum-_xlpm.w)/_xlpm.tot*_xlpm.n,0)))</f>
        <v>0</v>
      </c>
      <c r="O107" s="691" cm="1">
        <f t="array" aca="1" ref="O107" ca="1">_xlfn.LET(_xlpm.w,INDEX(O$19:O$30,$U107),_xlpm.tot,SUMPRODUCT(O$19:O$30,$T$19:$T$30),_xlpm.n,O$14,_xlpm.cum,SUMPRODUCT((ROW($C$19:$C$30)-18&lt;$U107)*O$19:O$30*$T$19:$T$30)+$V107*_xlpm.w,IF(OR(_xlpm.n="",_xlpm.n=0,_xlpm.tot=0,_xlpm.w=0),0,ROUND(_xlpm.cum/_xlpm.tot*_xlpm.n,0)-ROUND((_xlpm.cum-_xlpm.w)/_xlpm.tot*_xlpm.n,0)))</f>
        <v>0</v>
      </c>
      <c r="P107" s="691" cm="1">
        <f t="array" aca="1" ref="P107" ca="1">_xlfn.LET(_xlpm.w,INDEX(P$19:P$30,$U107),_xlpm.tot,SUMPRODUCT(P$19:P$30,$T$19:$T$30),_xlpm.n,P$14,_xlpm.cum,SUMPRODUCT((ROW($C$19:$C$30)-18&lt;$U107)*P$19:P$30*$T$19:$T$30)+$V107*_xlpm.w,IF(OR(_xlpm.n="",_xlpm.n=0,_xlpm.tot=0,_xlpm.w=0),0,ROUND(_xlpm.cum/_xlpm.tot*_xlpm.n,0)-ROUND((_xlpm.cum-_xlpm.w)/_xlpm.tot*_xlpm.n,0)))</f>
        <v>0</v>
      </c>
      <c r="Q107" s="691" cm="1">
        <f t="array" aca="1" ref="Q107" ca="1">_xlfn.LET(_xlpm.w,INDEX(Q$19:Q$30,$U107),_xlpm.tot,SUMPRODUCT(Q$19:Q$30,$T$19:$T$30),_xlpm.n,Q$14,_xlpm.cum,SUMPRODUCT((ROW($C$19:$C$30)-18&lt;$U107)*Q$19:Q$30*$T$19:$T$30)+$V107*_xlpm.w,IF(OR(_xlpm.n="",_xlpm.n=0,_xlpm.tot=0,_xlpm.w=0),0,ROUND(_xlpm.cum/_xlpm.tot*_xlpm.n,0)-ROUND((_xlpm.cum-_xlpm.w)/_xlpm.tot*_xlpm.n,0)))</f>
        <v>0</v>
      </c>
      <c r="R107" s="691" cm="1">
        <f t="array" aca="1" ref="R107" ca="1">_xlfn.LET(_xlpm.w,INDEX(R$19:R$30,$U107),_xlpm.tot,SUMPRODUCT(R$19:R$30,$T$19:$T$30),_xlpm.n,R$14,_xlpm.cum,SUMPRODUCT((ROW($C$19:$C$30)-18&lt;$U107)*R$19:R$30*$T$19:$T$30)+$V107*_xlpm.w,IF(OR(_xlpm.n="",_xlpm.n=0,_xlpm.tot=0,_xlpm.w=0),0,ROUND(_xlpm.cum/_xlpm.tot*_xlpm.n,0)-ROUND((_xlpm.cum-_xlpm.w)/_xlpm.tot*_xlpm.n,0)))</f>
        <v>0</v>
      </c>
      <c r="S107" s="701">
        <f t="shared" ca="1" si="16"/>
        <v>1</v>
      </c>
      <c r="T107" s="702">
        <f t="shared" ca="1" si="17"/>
        <v>46380</v>
      </c>
      <c r="U107" s="703">
        <f t="shared" ca="1" si="18"/>
        <v>12</v>
      </c>
      <c r="V107" s="703">
        <f ca="1">COUNTIFS($U$56:$U107,$U107)</f>
        <v>4</v>
      </c>
      <c r="W107" s="704">
        <f t="shared" ca="1" si="19"/>
        <v>4.8</v>
      </c>
      <c r="X107" s="705" cm="1">
        <f t="array" aca="1" ref="X107" ca="1">INDEX($U$19:$U$30,$U107)</f>
        <v>20</v>
      </c>
      <c r="Y107" s="706">
        <f t="shared" ca="1" si="20"/>
        <v>0.24</v>
      </c>
      <c r="Z107" s="707" t="str">
        <f t="shared" ca="1" si="21"/>
        <v>OK</v>
      </c>
    </row>
    <row r="109" spans="1:26">
      <c r="B109" s="45" t="s">
        <v>673</v>
      </c>
      <c r="C109" s="692">
        <f ca="1">SUM(C56:C107)</f>
        <v>9</v>
      </c>
      <c r="D109" s="692">
        <f t="shared" ref="D109:R109" ca="1" si="23">SUM(D56:D107)</f>
        <v>4</v>
      </c>
      <c r="E109" s="692">
        <f t="shared" ca="1" si="23"/>
        <v>18</v>
      </c>
      <c r="F109" s="692">
        <f t="shared" ca="1" si="23"/>
        <v>36</v>
      </c>
      <c r="G109" s="692">
        <f t="shared" ca="1" si="23"/>
        <v>3</v>
      </c>
      <c r="H109" s="692">
        <f t="shared" ca="1" si="23"/>
        <v>1</v>
      </c>
      <c r="I109" s="692">
        <f t="shared" ca="1" si="23"/>
        <v>0</v>
      </c>
      <c r="J109" s="692">
        <f t="shared" ca="1" si="23"/>
        <v>0</v>
      </c>
      <c r="K109" s="692">
        <f t="shared" ca="1" si="23"/>
        <v>0</v>
      </c>
      <c r="L109" s="692">
        <f t="shared" ca="1" si="23"/>
        <v>0</v>
      </c>
      <c r="M109" s="692">
        <f t="shared" ca="1" si="23"/>
        <v>0</v>
      </c>
      <c r="N109" s="692">
        <f t="shared" ca="1" si="23"/>
        <v>0</v>
      </c>
      <c r="O109" s="692">
        <f t="shared" ca="1" si="23"/>
        <v>0</v>
      </c>
      <c r="P109" s="692">
        <f t="shared" ca="1" si="23"/>
        <v>0</v>
      </c>
      <c r="Q109" s="692">
        <f t="shared" ca="1" si="23"/>
        <v>0</v>
      </c>
      <c r="R109" s="692">
        <f t="shared" ca="1" si="23"/>
        <v>0</v>
      </c>
      <c r="W109" s="708">
        <f ca="1">SUM(W56:W107)</f>
        <v>340.80000000000013</v>
      </c>
    </row>
    <row r="110" spans="1:26">
      <c r="B110" s="45" t="s">
        <v>674</v>
      </c>
      <c r="C110" s="698" t="str">
        <f ca="1">IF(C109=IF(C$14="",0,C$14),"OK","ÉCART")</f>
        <v>OK</v>
      </c>
      <c r="D110" s="698" t="str">
        <f t="shared" ref="D110:R110" ca="1" si="24">IF(D109=IF(D$14="",0,D$14),"OK","ÉCART")</f>
        <v>OK</v>
      </c>
      <c r="E110" s="698" t="str">
        <f t="shared" ca="1" si="24"/>
        <v>OK</v>
      </c>
      <c r="F110" s="698" t="str">
        <f t="shared" ca="1" si="24"/>
        <v>OK</v>
      </c>
      <c r="G110" s="698" t="str">
        <f t="shared" ca="1" si="24"/>
        <v>OK</v>
      </c>
      <c r="H110" s="698" t="str">
        <f t="shared" ca="1" si="24"/>
        <v>OK</v>
      </c>
      <c r="I110" s="698" t="str">
        <f t="shared" ca="1" si="24"/>
        <v>OK</v>
      </c>
      <c r="J110" s="698" t="str">
        <f t="shared" ca="1" si="24"/>
        <v>OK</v>
      </c>
      <c r="K110" s="698" t="str">
        <f t="shared" ca="1" si="24"/>
        <v>OK</v>
      </c>
      <c r="L110" s="698" t="str">
        <f t="shared" ca="1" si="24"/>
        <v>OK</v>
      </c>
      <c r="M110" s="698" t="str">
        <f t="shared" ca="1" si="24"/>
        <v>OK</v>
      </c>
      <c r="N110" s="698" t="str">
        <f t="shared" ca="1" si="24"/>
        <v>OK</v>
      </c>
      <c r="O110" s="698" t="str">
        <f t="shared" ca="1" si="24"/>
        <v>OK</v>
      </c>
      <c r="P110" s="698" t="str">
        <f t="shared" ca="1" si="24"/>
        <v>OK</v>
      </c>
      <c r="Q110" s="698" t="str">
        <f t="shared" ca="1" si="24"/>
        <v>OK</v>
      </c>
      <c r="R110" s="698" t="str">
        <f t="shared" ca="1" si="24"/>
        <v>OK</v>
      </c>
      <c r="W110" s="724" t="str">
        <f ca="1">IF(W109=T14,"OK CORRECT","PROBLEME")</f>
        <v>OK CORRECT</v>
      </c>
    </row>
  </sheetData>
  <sheetProtection algorithmName="SHA-512" hashValue="ko+9CXmsunJAq6887U9cg0h+8H+fV4vtH0gFUXONjmTUmdee8KgMmaeoQpPIJWgD9RHs6FwQ5owtAZsIEFCPuA==" saltValue="kQNXIekVoyXNI7biDl7ioQ==" spinCount="100000" sheet="1" objects="1" scenarios="1" formatCells="0" formatColumns="0" formatRows="0" insertRows="0" insertHyperlinks="0" sort="0" autoFilter="0" pivotTables="0"/>
  <mergeCells count="9">
    <mergeCell ref="U11:V13"/>
    <mergeCell ref="V19:W30"/>
    <mergeCell ref="B1:R2"/>
    <mergeCell ref="B35:R35"/>
    <mergeCell ref="A36:A47"/>
    <mergeCell ref="A19:A30"/>
    <mergeCell ref="C11:L11"/>
    <mergeCell ref="M11:R11"/>
    <mergeCell ref="B18:R18"/>
  </mergeCells>
  <phoneticPr fontId="25" type="noConversion"/>
  <conditionalFormatting sqref="A56:B107 S56:Z107">
    <cfRule type="expression" dxfId="129" priority="25">
      <formula>ISODD($U56)</formula>
    </cfRule>
  </conditionalFormatting>
  <conditionalFormatting sqref="C19:R30">
    <cfRule type="colorScale" priority="20">
      <colorScale>
        <cfvo type="num" val="0"/>
        <cfvo type="num" val="0.5"/>
        <cfvo type="num" val="1"/>
        <color rgb="FF9DB4D9"/>
        <color rgb="FF5B7FB8"/>
        <color rgb="FF1F3864"/>
      </colorScale>
    </cfRule>
    <cfRule type="cellIs" dxfId="128" priority="21" operator="equal">
      <formula>1</formula>
    </cfRule>
  </conditionalFormatting>
  <conditionalFormatting sqref="C36:R47">
    <cfRule type="cellIs" dxfId="127" priority="24" operator="notEqual">
      <formula>0</formula>
    </cfRule>
  </conditionalFormatting>
  <conditionalFormatting sqref="C110:R110">
    <cfRule type="containsText" dxfId="126" priority="29" operator="containsText" text="ÉCART">
      <formula>NOT(ISERROR(SEARCH("ÉCART",C110)))</formula>
    </cfRule>
  </conditionalFormatting>
  <conditionalFormatting sqref="U52">
    <cfRule type="cellIs" dxfId="125" priority="22" operator="equal">
      <formula>"OK CORRECT"</formula>
    </cfRule>
    <cfRule type="cellIs" dxfId="124" priority="23" operator="equal">
      <formula>"PROBLEME"</formula>
    </cfRule>
  </conditionalFormatting>
  <conditionalFormatting sqref="V36:V47">
    <cfRule type="cellIs" dxfId="123" priority="14" operator="greaterThan">
      <formula>1</formula>
    </cfRule>
    <cfRule type="cellIs" dxfId="122" priority="15" operator="greaterThan">
      <formula>0.8</formula>
    </cfRule>
    <cfRule type="cellIs" dxfId="121" priority="16" operator="greaterThan">
      <formula>0</formula>
    </cfRule>
  </conditionalFormatting>
  <conditionalFormatting sqref="W36:W47">
    <cfRule type="containsText" dxfId="120" priority="17" operator="containsText" text="GOULOT">
      <formula>NOT(ISERROR(SEARCH("GOULOT",W36)))</formula>
    </cfRule>
    <cfRule type="containsText" dxfId="119" priority="18" operator="containsText" text="Tendu">
      <formula>NOT(ISERROR(SEARCH("Tendu",W36)))</formula>
    </cfRule>
    <cfRule type="containsText" dxfId="118" priority="19" operator="containsText" text="OK">
      <formula>NOT(ISERROR(SEARCH("OK",W36)))</formula>
    </cfRule>
  </conditionalFormatting>
  <conditionalFormatting sqref="W110">
    <cfRule type="cellIs" dxfId="117" priority="1" operator="equal">
      <formula>"OK CORRECT"</formula>
    </cfRule>
    <cfRule type="cellIs" dxfId="116" priority="2" operator="equal">
      <formula>"PROBLEME"</formula>
    </cfRule>
  </conditionalFormatting>
  <conditionalFormatting sqref="Y56:Y107">
    <cfRule type="cellIs" dxfId="115" priority="26" operator="greaterThan">
      <formula>1</formula>
    </cfRule>
    <cfRule type="cellIs" dxfId="114" priority="27" operator="between">
      <formula>0.8</formula>
      <formula>1</formula>
    </cfRule>
  </conditionalFormatting>
  <conditionalFormatting sqref="Z56:Z107">
    <cfRule type="containsText" dxfId="113" priority="28" operator="containsText" text="GOULOT">
      <formula>NOT(ISERROR(SEARCH("GOULOT",Z56)))</formula>
    </cfRule>
  </conditionalFormatting>
  <pageMargins left="0.7" right="0.7" top="0.75" bottom="0.75" header="0.3" footer="0.3"/>
  <pageSetup paperSize="9" orientation="portrait" horizontalDpi="4294967293" verticalDpi="4294967293"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Valeur invalide" error="Veuillez choisir une variable dans la liste." xr:uid="{00EEF0F7-BA0A-4B5C-9F5C-BA16A2FF04A1}">
          <x14:formula1>
            <xm:f>Listes!$F$2:$F$46</xm:f>
          </x14:formula1>
          <xm:sqref>A4:A8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290EE-4B91-4E8A-8AE2-0DF3C59CC2C5}">
  <dimension ref="B1:AC42"/>
  <sheetViews>
    <sheetView zoomScale="85" zoomScaleNormal="85" workbookViewId="0">
      <selection activeCell="D10" sqref="D10"/>
    </sheetView>
  </sheetViews>
  <sheetFormatPr baseColWidth="10" defaultRowHeight="14.4"/>
  <cols>
    <col min="1" max="1" width="11.5546875" style="47"/>
    <col min="2" max="2" width="30.88671875" style="47" customWidth="1"/>
    <col min="3" max="3" width="31.109375" style="47" customWidth="1"/>
    <col min="4" max="5" width="6.109375" style="47" customWidth="1"/>
    <col min="6" max="17" width="8.77734375" style="47" customWidth="1"/>
    <col min="18" max="18" width="29.77734375" style="47" bestFit="1" customWidth="1"/>
    <col min="19" max="19" width="13.77734375" style="47" customWidth="1"/>
    <col min="20" max="20" width="13.5546875" style="47" customWidth="1"/>
    <col min="21" max="21" width="13.77734375" style="47" customWidth="1"/>
    <col min="22" max="22" width="14.21875" style="47" customWidth="1"/>
    <col min="23" max="16384" width="11.5546875" style="47"/>
  </cols>
  <sheetData>
    <row r="1" spans="2:29">
      <c r="B1" s="725" t="s">
        <v>251</v>
      </c>
      <c r="C1" s="726"/>
      <c r="D1" s="726"/>
      <c r="E1" s="726"/>
      <c r="F1" s="726"/>
      <c r="G1" s="726"/>
      <c r="H1" s="726"/>
      <c r="I1" s="726"/>
      <c r="J1" s="726"/>
      <c r="K1" s="726"/>
      <c r="L1" s="726"/>
      <c r="M1" s="726"/>
      <c r="N1" s="726"/>
      <c r="O1" s="726"/>
      <c r="P1" s="726"/>
      <c r="Q1" s="726"/>
    </row>
    <row r="2" spans="2:29">
      <c r="B2" s="47" t="s">
        <v>237</v>
      </c>
      <c r="C2" s="47" t="s">
        <v>508</v>
      </c>
      <c r="D2" s="47" t="s">
        <v>253</v>
      </c>
      <c r="E2" s="47" t="s">
        <v>512</v>
      </c>
      <c r="F2" s="47" t="s">
        <v>238</v>
      </c>
      <c r="G2" s="47" t="s">
        <v>239</v>
      </c>
      <c r="H2" s="47" t="s">
        <v>240</v>
      </c>
      <c r="I2" s="47" t="s">
        <v>241</v>
      </c>
      <c r="J2" s="47" t="s">
        <v>242</v>
      </c>
      <c r="K2" s="47" t="s">
        <v>243</v>
      </c>
      <c r="L2" s="47" t="s">
        <v>244</v>
      </c>
      <c r="M2" s="47" t="s">
        <v>245</v>
      </c>
      <c r="N2" s="47" t="s">
        <v>246</v>
      </c>
      <c r="O2" s="47" t="s">
        <v>247</v>
      </c>
      <c r="P2" s="47" t="s">
        <v>248</v>
      </c>
      <c r="Q2" s="47" t="s">
        <v>249</v>
      </c>
      <c r="R2" s="441" t="s">
        <v>714</v>
      </c>
    </row>
    <row r="3" spans="2:29" ht="67.8" customHeight="1">
      <c r="C3" s="168" t="s">
        <v>510</v>
      </c>
      <c r="D3" s="412" t="s">
        <v>513</v>
      </c>
      <c r="E3" s="412"/>
      <c r="F3" s="411" t="s">
        <v>686</v>
      </c>
      <c r="G3" s="411"/>
      <c r="H3" s="411"/>
      <c r="I3" s="411"/>
      <c r="J3" s="411"/>
      <c r="K3" s="411"/>
      <c r="L3" s="411"/>
      <c r="M3" s="411"/>
      <c r="N3" s="411"/>
      <c r="O3" s="411"/>
      <c r="P3" s="411"/>
      <c r="Q3" s="411"/>
      <c r="R3" s="440" t="s">
        <v>715</v>
      </c>
      <c r="S3" s="168"/>
      <c r="T3" s="168"/>
      <c r="U3" s="168"/>
      <c r="V3" s="168"/>
      <c r="W3" s="168"/>
      <c r="X3" s="168"/>
      <c r="Y3" s="168"/>
      <c r="Z3" s="168"/>
      <c r="AA3" s="168"/>
      <c r="AB3" s="168"/>
      <c r="AC3" s="168"/>
    </row>
    <row r="4" spans="2:29">
      <c r="B4" s="169" t="s">
        <v>690</v>
      </c>
      <c r="C4" s="32">
        <v>0</v>
      </c>
      <c r="D4" s="738">
        <f>SUM(F4:Q4)/(12*5)</f>
        <v>1</v>
      </c>
      <c r="E4" s="738">
        <f>SUM(F4:Q4)/12</f>
        <v>5</v>
      </c>
      <c r="F4" s="171">
        <v>5</v>
      </c>
      <c r="G4" s="171">
        <v>5</v>
      </c>
      <c r="H4" s="171">
        <v>5</v>
      </c>
      <c r="I4" s="171">
        <v>5</v>
      </c>
      <c r="J4" s="171">
        <v>5</v>
      </c>
      <c r="K4" s="171">
        <v>5</v>
      </c>
      <c r="L4" s="171">
        <v>5</v>
      </c>
      <c r="M4" s="171">
        <v>5</v>
      </c>
      <c r="N4" s="171">
        <v>5</v>
      </c>
      <c r="O4" s="171">
        <v>5</v>
      </c>
      <c r="P4" s="171">
        <v>5</v>
      </c>
      <c r="Q4" s="361">
        <v>5</v>
      </c>
      <c r="R4" s="727" t="s">
        <v>716</v>
      </c>
    </row>
    <row r="5" spans="2:29">
      <c r="B5" s="169" t="s">
        <v>691</v>
      </c>
      <c r="C5" s="32">
        <v>0</v>
      </c>
      <c r="D5" s="665">
        <f t="shared" ref="D5:D9" si="0">SUM(F5:Q5)/(12*5)</f>
        <v>0.05</v>
      </c>
      <c r="E5" s="665">
        <f t="shared" ref="E5:E9" si="1">SUM(F5:Q5)/12</f>
        <v>0.25</v>
      </c>
      <c r="F5" s="172">
        <v>0</v>
      </c>
      <c r="G5" s="172">
        <v>0</v>
      </c>
      <c r="H5" s="172">
        <v>0</v>
      </c>
      <c r="I5" s="172">
        <v>0</v>
      </c>
      <c r="J5" s="172">
        <v>0.5</v>
      </c>
      <c r="K5" s="172">
        <v>0</v>
      </c>
      <c r="L5" s="172">
        <v>1</v>
      </c>
      <c r="M5" s="172">
        <v>1</v>
      </c>
      <c r="N5" s="172">
        <v>0</v>
      </c>
      <c r="O5" s="172">
        <v>0.5</v>
      </c>
      <c r="P5" s="172">
        <v>0</v>
      </c>
      <c r="Q5" s="359">
        <v>0</v>
      </c>
      <c r="R5" s="727" t="s">
        <v>776</v>
      </c>
    </row>
    <row r="6" spans="2:29">
      <c r="B6" s="169" t="s">
        <v>250</v>
      </c>
      <c r="C6" s="170">
        <v>38000</v>
      </c>
      <c r="D6" s="665">
        <f t="shared" si="0"/>
        <v>0.6</v>
      </c>
      <c r="E6" s="665">
        <f t="shared" si="1"/>
        <v>3</v>
      </c>
      <c r="F6" s="172">
        <v>3</v>
      </c>
      <c r="G6" s="172">
        <v>3</v>
      </c>
      <c r="H6" s="172">
        <v>3</v>
      </c>
      <c r="I6" s="172">
        <v>3</v>
      </c>
      <c r="J6" s="172">
        <v>3</v>
      </c>
      <c r="K6" s="172">
        <v>3</v>
      </c>
      <c r="L6" s="172">
        <v>3</v>
      </c>
      <c r="M6" s="172">
        <v>3</v>
      </c>
      <c r="N6" s="172">
        <v>3</v>
      </c>
      <c r="O6" s="172">
        <v>3</v>
      </c>
      <c r="P6" s="172">
        <v>3</v>
      </c>
      <c r="Q6" s="172">
        <v>3</v>
      </c>
    </row>
    <row r="7" spans="2:29">
      <c r="B7" s="169" t="s">
        <v>332</v>
      </c>
      <c r="C7" s="170">
        <v>0</v>
      </c>
      <c r="D7" s="665">
        <f t="shared" si="0"/>
        <v>0</v>
      </c>
      <c r="E7" s="665">
        <f t="shared" si="1"/>
        <v>0</v>
      </c>
      <c r="F7" s="172">
        <v>0</v>
      </c>
      <c r="G7" s="172">
        <v>0</v>
      </c>
      <c r="H7" s="172">
        <v>0</v>
      </c>
      <c r="I7" s="172">
        <v>0</v>
      </c>
      <c r="J7" s="172">
        <v>0</v>
      </c>
      <c r="K7" s="172">
        <v>0</v>
      </c>
      <c r="L7" s="172">
        <v>0</v>
      </c>
      <c r="M7" s="172">
        <v>0</v>
      </c>
      <c r="N7" s="172">
        <v>0</v>
      </c>
      <c r="O7" s="172">
        <v>0</v>
      </c>
      <c r="P7" s="172">
        <v>0</v>
      </c>
      <c r="Q7" s="172">
        <v>0</v>
      </c>
    </row>
    <row r="8" spans="2:29">
      <c r="B8" s="169" t="s">
        <v>495</v>
      </c>
      <c r="C8" s="170">
        <v>0</v>
      </c>
      <c r="D8" s="665">
        <f t="shared" si="0"/>
        <v>0</v>
      </c>
      <c r="E8" s="665">
        <f t="shared" si="1"/>
        <v>0</v>
      </c>
      <c r="F8" s="172">
        <v>0</v>
      </c>
      <c r="G8" s="172">
        <v>0</v>
      </c>
      <c r="H8" s="172">
        <v>0</v>
      </c>
      <c r="I8" s="172">
        <v>0</v>
      </c>
      <c r="J8" s="172">
        <v>0</v>
      </c>
      <c r="K8" s="172">
        <v>0</v>
      </c>
      <c r="L8" s="172">
        <v>0</v>
      </c>
      <c r="M8" s="172">
        <v>0</v>
      </c>
      <c r="N8" s="172">
        <v>0</v>
      </c>
      <c r="O8" s="172">
        <v>0</v>
      </c>
      <c r="P8" s="172">
        <v>0</v>
      </c>
      <c r="Q8" s="172">
        <v>0</v>
      </c>
    </row>
    <row r="9" spans="2:29">
      <c r="B9" s="169" t="s">
        <v>496</v>
      </c>
      <c r="C9" s="170">
        <v>0</v>
      </c>
      <c r="D9" s="665">
        <f t="shared" si="0"/>
        <v>0</v>
      </c>
      <c r="E9" s="665">
        <f t="shared" si="1"/>
        <v>0</v>
      </c>
      <c r="F9" s="172">
        <v>0</v>
      </c>
      <c r="G9" s="172">
        <v>0</v>
      </c>
      <c r="H9" s="172">
        <v>0</v>
      </c>
      <c r="I9" s="172">
        <v>0</v>
      </c>
      <c r="J9" s="172">
        <v>0</v>
      </c>
      <c r="K9" s="172">
        <v>0</v>
      </c>
      <c r="L9" s="172">
        <v>0</v>
      </c>
      <c r="M9" s="172">
        <v>0</v>
      </c>
      <c r="N9" s="172">
        <v>0</v>
      </c>
      <c r="O9" s="172">
        <v>0</v>
      </c>
      <c r="P9" s="172">
        <v>0</v>
      </c>
      <c r="Q9" s="172">
        <v>0</v>
      </c>
    </row>
    <row r="10" spans="2:29">
      <c r="B10" s="492" t="s">
        <v>254</v>
      </c>
      <c r="C10" s="33">
        <f>SUM(C4:C9)</f>
        <v>38000</v>
      </c>
      <c r="D10" s="739">
        <f>SUM(D4:D9)</f>
        <v>1.65</v>
      </c>
      <c r="E10" s="452"/>
      <c r="F10" s="492">
        <f>F11/5</f>
        <v>1.6</v>
      </c>
      <c r="G10" s="492">
        <f t="shared" ref="G10:Q10" si="2">G11/5</f>
        <v>1.6</v>
      </c>
      <c r="H10" s="492">
        <f t="shared" si="2"/>
        <v>1.6</v>
      </c>
      <c r="I10" s="492">
        <f t="shared" si="2"/>
        <v>1.6</v>
      </c>
      <c r="J10" s="492">
        <f t="shared" si="2"/>
        <v>1.7</v>
      </c>
      <c r="K10" s="492">
        <f t="shared" si="2"/>
        <v>1.6</v>
      </c>
      <c r="L10" s="492">
        <f t="shared" si="2"/>
        <v>1.8</v>
      </c>
      <c r="M10" s="492">
        <f t="shared" si="2"/>
        <v>1.8</v>
      </c>
      <c r="N10" s="492">
        <f t="shared" si="2"/>
        <v>1.6</v>
      </c>
      <c r="O10" s="492">
        <f t="shared" si="2"/>
        <v>1.7</v>
      </c>
      <c r="P10" s="492">
        <f t="shared" si="2"/>
        <v>1.6</v>
      </c>
      <c r="Q10" s="492">
        <f t="shared" si="2"/>
        <v>1.6</v>
      </c>
    </row>
    <row r="11" spans="2:29" ht="15" thickBot="1">
      <c r="B11" s="492" t="s">
        <v>255</v>
      </c>
      <c r="C11" s="740"/>
      <c r="D11" s="741">
        <f>D10*5</f>
        <v>8.25</v>
      </c>
      <c r="E11" s="452"/>
      <c r="F11" s="492">
        <f>SUM(F4:F9)</f>
        <v>8</v>
      </c>
      <c r="G11" s="492">
        <f t="shared" ref="G11:Q11" si="3">SUM(G4:G9)</f>
        <v>8</v>
      </c>
      <c r="H11" s="492">
        <f t="shared" si="3"/>
        <v>8</v>
      </c>
      <c r="I11" s="492">
        <f t="shared" si="3"/>
        <v>8</v>
      </c>
      <c r="J11" s="492">
        <f t="shared" si="3"/>
        <v>8.5</v>
      </c>
      <c r="K11" s="492">
        <f t="shared" si="3"/>
        <v>8</v>
      </c>
      <c r="L11" s="492">
        <f t="shared" si="3"/>
        <v>9</v>
      </c>
      <c r="M11" s="492">
        <f t="shared" si="3"/>
        <v>9</v>
      </c>
      <c r="N11" s="492">
        <f t="shared" si="3"/>
        <v>8</v>
      </c>
      <c r="O11" s="492">
        <f t="shared" si="3"/>
        <v>8.5</v>
      </c>
      <c r="P11" s="492">
        <f t="shared" si="3"/>
        <v>8</v>
      </c>
      <c r="Q11" s="492">
        <f t="shared" si="3"/>
        <v>8</v>
      </c>
    </row>
    <row r="12" spans="2:29">
      <c r="B12" s="725" t="s">
        <v>252</v>
      </c>
      <c r="C12" s="726"/>
      <c r="D12" s="726"/>
      <c r="E12" s="726"/>
      <c r="F12" s="726"/>
      <c r="G12" s="726"/>
      <c r="H12" s="726"/>
      <c r="I12" s="726"/>
      <c r="J12" s="726"/>
      <c r="K12" s="726"/>
      <c r="L12" s="726"/>
      <c r="M12" s="726"/>
      <c r="N12" s="726"/>
      <c r="O12" s="726"/>
      <c r="P12" s="726"/>
      <c r="Q12" s="726"/>
    </row>
    <row r="13" spans="2:29" ht="15" thickBot="1">
      <c r="B13" s="410" t="s">
        <v>329</v>
      </c>
      <c r="C13" s="410"/>
      <c r="F13" s="47" t="s">
        <v>238</v>
      </c>
      <c r="G13" s="47" t="s">
        <v>239</v>
      </c>
      <c r="H13" s="47" t="s">
        <v>240</v>
      </c>
      <c r="I13" s="47" t="s">
        <v>241</v>
      </c>
      <c r="J13" s="47" t="s">
        <v>242</v>
      </c>
      <c r="K13" s="47" t="s">
        <v>243</v>
      </c>
      <c r="L13" s="47" t="s">
        <v>244</v>
      </c>
      <c r="M13" s="47" t="s">
        <v>245</v>
      </c>
      <c r="N13" s="47" t="s">
        <v>246</v>
      </c>
      <c r="O13" s="47" t="s">
        <v>247</v>
      </c>
      <c r="P13" s="47" t="s">
        <v>248</v>
      </c>
      <c r="Q13" s="47" t="s">
        <v>249</v>
      </c>
    </row>
    <row r="14" spans="2:29" ht="14.4" customHeight="1">
      <c r="B14" s="344"/>
      <c r="C14" s="344" t="s">
        <v>657</v>
      </c>
      <c r="F14" s="413" t="s">
        <v>685</v>
      </c>
      <c r="G14" s="414"/>
      <c r="H14" s="414"/>
      <c r="I14" s="414"/>
      <c r="J14" s="414"/>
      <c r="K14" s="414"/>
      <c r="L14" s="414"/>
      <c r="M14" s="414"/>
      <c r="N14" s="414"/>
      <c r="O14" s="414"/>
      <c r="P14" s="414"/>
      <c r="Q14" s="414"/>
      <c r="R14" s="728" t="s">
        <v>687</v>
      </c>
    </row>
    <row r="15" spans="2:29" ht="15" thickBot="1">
      <c r="B15" s="344"/>
      <c r="C15" s="344"/>
      <c r="F15" s="415"/>
      <c r="G15" s="416"/>
      <c r="H15" s="416"/>
      <c r="I15" s="416"/>
      <c r="J15" s="416"/>
      <c r="K15" s="416"/>
      <c r="L15" s="416"/>
      <c r="M15" s="416"/>
      <c r="N15" s="416"/>
      <c r="O15" s="416"/>
      <c r="P15" s="416"/>
      <c r="Q15" s="416"/>
      <c r="R15" s="729"/>
    </row>
    <row r="16" spans="2:29">
      <c r="B16" s="48" t="s">
        <v>325</v>
      </c>
      <c r="C16" s="47" t="s">
        <v>658</v>
      </c>
      <c r="F16" s="172">
        <v>2</v>
      </c>
      <c r="G16" s="172">
        <v>2</v>
      </c>
      <c r="H16" s="172">
        <v>5</v>
      </c>
      <c r="I16" s="172">
        <v>5</v>
      </c>
      <c r="J16" s="172">
        <v>5</v>
      </c>
      <c r="K16" s="172">
        <v>7</v>
      </c>
      <c r="L16" s="172">
        <v>7</v>
      </c>
      <c r="M16" s="172">
        <v>7</v>
      </c>
      <c r="N16" s="172">
        <v>7</v>
      </c>
      <c r="O16" s="172">
        <v>7</v>
      </c>
      <c r="P16" s="172">
        <v>0</v>
      </c>
      <c r="Q16" s="359">
        <v>0</v>
      </c>
      <c r="R16" s="742">
        <f>SUM(F16:Q16)</f>
        <v>54</v>
      </c>
    </row>
    <row r="17" spans="2:18" ht="15" thickBot="1">
      <c r="B17" s="48" t="s">
        <v>683</v>
      </c>
      <c r="C17" s="47" t="s">
        <v>658</v>
      </c>
      <c r="F17" s="358">
        <v>2</v>
      </c>
      <c r="G17" s="358">
        <v>2</v>
      </c>
      <c r="H17" s="358"/>
      <c r="I17" s="358"/>
      <c r="J17" s="358"/>
      <c r="K17" s="358"/>
      <c r="L17" s="358"/>
      <c r="M17" s="358"/>
      <c r="N17" s="358"/>
      <c r="O17" s="358"/>
      <c r="P17" s="358"/>
      <c r="Q17" s="360"/>
      <c r="R17" s="743">
        <f t="shared" ref="R17:R25" si="4">SUM(F17:Q17)</f>
        <v>4</v>
      </c>
    </row>
    <row r="18" spans="2:18" ht="15" thickBot="1">
      <c r="B18" s="744" t="s">
        <v>684</v>
      </c>
      <c r="C18" s="173" t="s">
        <v>659</v>
      </c>
      <c r="D18" s="173"/>
      <c r="E18" s="173"/>
      <c r="F18" s="745" cm="1">
        <f t="array" aca="1" ref="F18:Q18" ca="1">TRANSPOSE('9. Capacité prod mensuelle'!U36:U47)</f>
        <v>0.14586118876868845</v>
      </c>
      <c r="G18" s="745">
        <f ca="1"/>
        <v>0.43758356630606543</v>
      </c>
      <c r="H18" s="745">
        <f ca="1"/>
        <v>0.72930594384344238</v>
      </c>
      <c r="I18" s="745">
        <f ca="1"/>
        <v>0.5834447550747538</v>
      </c>
      <c r="J18" s="745">
        <f ca="1"/>
        <v>0.87516713261213086</v>
      </c>
      <c r="K18" s="745">
        <f ca="1"/>
        <v>0.43758356630606543</v>
      </c>
      <c r="L18" s="745">
        <f ca="1"/>
        <v>0.72930594384344238</v>
      </c>
      <c r="M18" s="745">
        <f ca="1"/>
        <v>1.6044730764555728</v>
      </c>
      <c r="N18" s="745">
        <f ca="1"/>
        <v>2.1879178315303269</v>
      </c>
      <c r="O18" s="745">
        <f ca="1"/>
        <v>1.1668895101495076</v>
      </c>
      <c r="P18" s="745">
        <f ca="1"/>
        <v>0.87516713261213086</v>
      </c>
      <c r="Q18" s="746">
        <f ca="1"/>
        <v>0.5834447550747538</v>
      </c>
      <c r="R18" s="743">
        <f t="shared" ca="1" si="4"/>
        <v>10.356144402576879</v>
      </c>
    </row>
    <row r="19" spans="2:18">
      <c r="B19" s="48" t="s">
        <v>326</v>
      </c>
      <c r="C19" s="47" t="s">
        <v>659</v>
      </c>
      <c r="F19" s="171">
        <v>0.5</v>
      </c>
      <c r="G19" s="171">
        <v>0.5</v>
      </c>
      <c r="H19" s="171">
        <v>0.5</v>
      </c>
      <c r="I19" s="171">
        <v>0.5</v>
      </c>
      <c r="J19" s="171">
        <v>0.5</v>
      </c>
      <c r="K19" s="171">
        <v>0.5</v>
      </c>
      <c r="L19" s="171">
        <v>0.5</v>
      </c>
      <c r="M19" s="171">
        <v>0.5</v>
      </c>
      <c r="N19" s="171">
        <v>0.5</v>
      </c>
      <c r="O19" s="171">
        <v>0.5</v>
      </c>
      <c r="P19" s="171">
        <v>0.5</v>
      </c>
      <c r="Q19" s="361">
        <v>0.5</v>
      </c>
      <c r="R19" s="743">
        <f t="shared" si="4"/>
        <v>6</v>
      </c>
    </row>
    <row r="20" spans="2:18">
      <c r="B20" s="48" t="s">
        <v>327</v>
      </c>
      <c r="C20" s="47" t="s">
        <v>660</v>
      </c>
      <c r="F20" s="172">
        <v>1</v>
      </c>
      <c r="G20" s="172">
        <v>1</v>
      </c>
      <c r="H20" s="172">
        <v>1</v>
      </c>
      <c r="I20" s="172">
        <v>1</v>
      </c>
      <c r="J20" s="172">
        <v>1</v>
      </c>
      <c r="K20" s="172">
        <v>1</v>
      </c>
      <c r="L20" s="172">
        <v>1</v>
      </c>
      <c r="M20" s="172">
        <v>1</v>
      </c>
      <c r="N20" s="172">
        <v>1</v>
      </c>
      <c r="O20" s="172">
        <v>1</v>
      </c>
      <c r="P20" s="172">
        <v>1</v>
      </c>
      <c r="Q20" s="359">
        <v>1</v>
      </c>
      <c r="R20" s="743">
        <f t="shared" si="4"/>
        <v>12</v>
      </c>
    </row>
    <row r="21" spans="2:18">
      <c r="B21" s="48" t="s">
        <v>328</v>
      </c>
      <c r="C21" s="47" t="s">
        <v>660</v>
      </c>
      <c r="F21" s="172">
        <v>0.5</v>
      </c>
      <c r="G21" s="172">
        <v>0.5</v>
      </c>
      <c r="H21" s="172">
        <v>0.5</v>
      </c>
      <c r="I21" s="172">
        <v>0.5</v>
      </c>
      <c r="J21" s="172">
        <v>0.5</v>
      </c>
      <c r="K21" s="172">
        <v>0.5</v>
      </c>
      <c r="L21" s="172">
        <v>0.5</v>
      </c>
      <c r="M21" s="172">
        <v>0.5</v>
      </c>
      <c r="N21" s="172">
        <v>0.5</v>
      </c>
      <c r="O21" s="172">
        <v>0.5</v>
      </c>
      <c r="P21" s="172">
        <v>0.5</v>
      </c>
      <c r="Q21" s="359">
        <v>0.5</v>
      </c>
      <c r="R21" s="743">
        <f t="shared" si="4"/>
        <v>6</v>
      </c>
    </row>
    <row r="22" spans="2:18">
      <c r="B22" s="48" t="s">
        <v>330</v>
      </c>
      <c r="F22" s="172"/>
      <c r="G22" s="172"/>
      <c r="H22" s="172"/>
      <c r="I22" s="172"/>
      <c r="J22" s="172"/>
      <c r="K22" s="172"/>
      <c r="L22" s="172"/>
      <c r="M22" s="172"/>
      <c r="N22" s="172"/>
      <c r="O22" s="172"/>
      <c r="P22" s="172"/>
      <c r="Q22" s="359"/>
      <c r="R22" s="743">
        <f t="shared" si="4"/>
        <v>0</v>
      </c>
    </row>
    <row r="23" spans="2:18">
      <c r="B23" s="48" t="s">
        <v>331</v>
      </c>
      <c r="F23" s="172"/>
      <c r="G23" s="172"/>
      <c r="H23" s="172"/>
      <c r="I23" s="172"/>
      <c r="J23" s="172"/>
      <c r="K23" s="172"/>
      <c r="L23" s="172"/>
      <c r="M23" s="172"/>
      <c r="N23" s="172"/>
      <c r="O23" s="172"/>
      <c r="P23" s="172"/>
      <c r="Q23" s="359"/>
      <c r="R23" s="743">
        <f t="shared" si="4"/>
        <v>0</v>
      </c>
    </row>
    <row r="24" spans="2:18">
      <c r="B24" s="48" t="s">
        <v>675</v>
      </c>
      <c r="F24" s="172"/>
      <c r="G24" s="172"/>
      <c r="H24" s="172"/>
      <c r="I24" s="172"/>
      <c r="J24" s="172"/>
      <c r="K24" s="172"/>
      <c r="L24" s="172"/>
      <c r="M24" s="172"/>
      <c r="N24" s="172"/>
      <c r="O24" s="172"/>
      <c r="P24" s="172"/>
      <c r="Q24" s="359"/>
      <c r="R24" s="743">
        <f t="shared" si="4"/>
        <v>0</v>
      </c>
    </row>
    <row r="25" spans="2:18">
      <c r="B25" s="48" t="s">
        <v>676</v>
      </c>
      <c r="F25" s="172"/>
      <c r="G25" s="172"/>
      <c r="H25" s="172"/>
      <c r="I25" s="172"/>
      <c r="J25" s="172"/>
      <c r="K25" s="172"/>
      <c r="L25" s="172"/>
      <c r="M25" s="172"/>
      <c r="N25" s="172"/>
      <c r="O25" s="172"/>
      <c r="P25" s="172"/>
      <c r="Q25" s="359"/>
      <c r="R25" s="743">
        <f t="shared" si="4"/>
        <v>0</v>
      </c>
    </row>
    <row r="26" spans="2:18">
      <c r="B26" s="492" t="s">
        <v>256</v>
      </c>
      <c r="F26" s="747">
        <f ca="1">F27/5</f>
        <v>1.2291722377537377</v>
      </c>
      <c r="G26" s="747">
        <f t="shared" ref="G26:R26" ca="1" si="5">G27/5</f>
        <v>1.2875167132612131</v>
      </c>
      <c r="H26" s="747">
        <f t="shared" ca="1" si="5"/>
        <v>1.5458611887686886</v>
      </c>
      <c r="I26" s="747">
        <f t="shared" ca="1" si="5"/>
        <v>1.5166889510149508</v>
      </c>
      <c r="J26" s="747">
        <f t="shared" ca="1" si="5"/>
        <v>1.5750334265224262</v>
      </c>
      <c r="K26" s="747">
        <f t="shared" ca="1" si="5"/>
        <v>1.887516713261213</v>
      </c>
      <c r="L26" s="747">
        <f t="shared" ca="1" si="5"/>
        <v>1.9458611887686885</v>
      </c>
      <c r="M26" s="747">
        <f t="shared" ca="1" si="5"/>
        <v>2.1208946152911148</v>
      </c>
      <c r="N26" s="747">
        <f t="shared" ca="1" si="5"/>
        <v>2.2375835663060655</v>
      </c>
      <c r="O26" s="747">
        <f t="shared" ca="1" si="5"/>
        <v>2.0333779020299017</v>
      </c>
      <c r="P26" s="747">
        <f t="shared" ca="1" si="5"/>
        <v>0.57503342652242617</v>
      </c>
      <c r="Q26" s="747">
        <f t="shared" ca="1" si="5"/>
        <v>0.51668895101495083</v>
      </c>
      <c r="R26" s="748">
        <f t="shared" ca="1" si="5"/>
        <v>1.5392690733762813</v>
      </c>
    </row>
    <row r="27" spans="2:18" ht="15" thickBot="1">
      <c r="B27" s="492" t="s">
        <v>333</v>
      </c>
      <c r="F27" s="747">
        <f ca="1">SUM(F16:F25)</f>
        <v>6.1458611887686887</v>
      </c>
      <c r="G27" s="747">
        <f ca="1">SUM(G16:G25)</f>
        <v>6.4375835663060652</v>
      </c>
      <c r="H27" s="747">
        <f t="shared" ref="H27:P27" ca="1" si="6">SUM(H16:H25)</f>
        <v>7.7293059438434426</v>
      </c>
      <c r="I27" s="747">
        <f t="shared" ca="1" si="6"/>
        <v>7.5834447550747539</v>
      </c>
      <c r="J27" s="747">
        <f t="shared" ca="1" si="6"/>
        <v>7.8751671326121304</v>
      </c>
      <c r="K27" s="747">
        <f t="shared" ca="1" si="6"/>
        <v>9.4375835663060652</v>
      </c>
      <c r="L27" s="747">
        <f t="shared" ca="1" si="6"/>
        <v>9.7293059438434426</v>
      </c>
      <c r="M27" s="747">
        <f t="shared" ca="1" si="6"/>
        <v>10.604473076455573</v>
      </c>
      <c r="N27" s="747">
        <f t="shared" ca="1" si="6"/>
        <v>11.187917831530328</v>
      </c>
      <c r="O27" s="747">
        <f t="shared" ca="1" si="6"/>
        <v>10.166889510149508</v>
      </c>
      <c r="P27" s="747">
        <f t="shared" ca="1" si="6"/>
        <v>2.8751671326121309</v>
      </c>
      <c r="Q27" s="747">
        <f ca="1">SUM(Q16:Q25)</f>
        <v>2.5834447550747539</v>
      </c>
      <c r="R27" s="749">
        <f ca="1">SUM(R16:R25)/12</f>
        <v>7.6963453668814061</v>
      </c>
    </row>
    <row r="28" spans="2:18" ht="15" thickBot="1"/>
    <row r="29" spans="2:18" ht="15" thickBot="1">
      <c r="B29" s="744" t="s">
        <v>494</v>
      </c>
      <c r="C29" s="173"/>
      <c r="D29" s="173"/>
      <c r="E29" s="173"/>
      <c r="F29" s="750">
        <f ca="1">IFERROR(F26/F10,"")</f>
        <v>0.76823264859608609</v>
      </c>
      <c r="G29" s="750">
        <f t="shared" ref="G29:Q29" ca="1" si="7">IFERROR(G26/G10,"")</f>
        <v>0.80469794578825815</v>
      </c>
      <c r="H29" s="750">
        <f t="shared" ca="1" si="7"/>
        <v>0.96616324298043033</v>
      </c>
      <c r="I29" s="750">
        <f t="shared" ca="1" si="7"/>
        <v>0.94793059438434424</v>
      </c>
      <c r="J29" s="750">
        <f t="shared" ca="1" si="7"/>
        <v>0.92649025089554482</v>
      </c>
      <c r="K29" s="750">
        <f t="shared" ca="1" si="7"/>
        <v>1.1796979457882579</v>
      </c>
      <c r="L29" s="750">
        <f t="shared" ca="1" si="7"/>
        <v>1.0810339937603826</v>
      </c>
      <c r="M29" s="750">
        <f t="shared" ca="1" si="7"/>
        <v>1.1782747862728415</v>
      </c>
      <c r="N29" s="750">
        <f t="shared" ca="1" si="7"/>
        <v>1.3984897289412908</v>
      </c>
      <c r="O29" s="750">
        <f t="shared" ca="1" si="7"/>
        <v>1.1961046482528834</v>
      </c>
      <c r="P29" s="750">
        <f t="shared" ca="1" si="7"/>
        <v>0.35939589157651636</v>
      </c>
      <c r="Q29" s="750">
        <f t="shared" ca="1" si="7"/>
        <v>0.32293059438434424</v>
      </c>
    </row>
    <row r="30" spans="2:18">
      <c r="R30" s="728" t="s">
        <v>688</v>
      </c>
    </row>
    <row r="31" spans="2:18" ht="15" thickBot="1">
      <c r="R31" s="729"/>
    </row>
    <row r="32" spans="2:18" ht="15.6">
      <c r="B32" s="730" t="s">
        <v>682</v>
      </c>
      <c r="C32" s="196" t="s">
        <v>658</v>
      </c>
      <c r="D32" s="196"/>
      <c r="E32" s="196"/>
      <c r="F32" s="751">
        <f ca="1">SUMIFS(F$16:F$25,$C$16:$C$25,$C32)/F$27</f>
        <v>0.65084450773308011</v>
      </c>
      <c r="G32" s="751">
        <f t="shared" ref="G32:Q34" ca="1" si="8">SUMIFS(G$16:G$25,$C$16:$C$25,$C32)/G$27</f>
        <v>0.62135115743363167</v>
      </c>
      <c r="H32" s="751">
        <f t="shared" ca="1" si="8"/>
        <v>0.64688861281039167</v>
      </c>
      <c r="I32" s="751">
        <f t="shared" ca="1" si="8"/>
        <v>0.65933097180592737</v>
      </c>
      <c r="J32" s="751">
        <f t="shared" ca="1" si="8"/>
        <v>0.63490716016607762</v>
      </c>
      <c r="K32" s="751">
        <f t="shared" ca="1" si="8"/>
        <v>0.74171528663240727</v>
      </c>
      <c r="L32" s="751">
        <f t="shared" ca="1" si="8"/>
        <v>0.71947578176730009</v>
      </c>
      <c r="M32" s="751">
        <f t="shared" ca="1" si="8"/>
        <v>0.66009880448861225</v>
      </c>
      <c r="N32" s="751">
        <f t="shared" ca="1" si="8"/>
        <v>0.62567495627043879</v>
      </c>
      <c r="O32" s="751">
        <f t="shared" ca="1" si="8"/>
        <v>0.6885094987028203</v>
      </c>
      <c r="P32" s="751">
        <f t="shared" ca="1" si="8"/>
        <v>0</v>
      </c>
      <c r="Q32" s="752">
        <f t="shared" ca="1" si="8"/>
        <v>0</v>
      </c>
      <c r="R32" s="753">
        <f ca="1">SUMIFS($R$16:$R$25,$C$16:$C$25,$C32)/SUM($R$16:$R$25)</f>
        <v>0.62800369564130176</v>
      </c>
    </row>
    <row r="33" spans="2:19" ht="15.6">
      <c r="B33" s="731"/>
      <c r="C33" s="47" t="s">
        <v>659</v>
      </c>
      <c r="F33" s="754">
        <f ca="1">SUMIFS(F$16:F$25,$C$16:$C$25,$C33)/F$27</f>
        <v>0.10508880186701475</v>
      </c>
      <c r="G33" s="754">
        <f t="shared" ca="1" si="8"/>
        <v>0.14564215852875648</v>
      </c>
      <c r="H33" s="754">
        <f t="shared" ca="1" si="8"/>
        <v>0.15904480334649074</v>
      </c>
      <c r="I33" s="754">
        <f t="shared" ca="1" si="8"/>
        <v>0.14286973665229449</v>
      </c>
      <c r="J33" s="754">
        <f t="shared" ca="1" si="8"/>
        <v>0.17462069178409917</v>
      </c>
      <c r="K33" s="754">
        <f t="shared" ca="1" si="8"/>
        <v>9.9345723374933997E-2</v>
      </c>
      <c r="L33" s="754">
        <f t="shared" ca="1" si="8"/>
        <v>0.12635083642542133</v>
      </c>
      <c r="M33" s="754">
        <f t="shared" ca="1" si="8"/>
        <v>0.19845145169239939</v>
      </c>
      <c r="N33" s="754">
        <f t="shared" ca="1" si="8"/>
        <v>0.24025183881446713</v>
      </c>
      <c r="O33" s="754">
        <f t="shared" ca="1" si="8"/>
        <v>0.16395275157514674</v>
      </c>
      <c r="P33" s="754">
        <f t="shared" ca="1" si="8"/>
        <v>0.4782911981060286</v>
      </c>
      <c r="Q33" s="755">
        <f t="shared" ca="1" si="8"/>
        <v>0.419379881434083</v>
      </c>
      <c r="R33" s="756">
        <f ca="1">SUMIFS($R$16:$R$25,$C$16:$C$25,$C33)/SUM($R$16:$R$25)</f>
        <v>0.17709860571139779</v>
      </c>
    </row>
    <row r="34" spans="2:19" ht="15.6">
      <c r="B34" s="731"/>
      <c r="C34" s="47" t="s">
        <v>660</v>
      </c>
      <c r="F34" s="754">
        <f ca="1">SUMIFS(F$16:F$25,$C$16:$C$25,$C34)/F$27</f>
        <v>0.24406669039990506</v>
      </c>
      <c r="G34" s="754">
        <f t="shared" ca="1" si="8"/>
        <v>0.23300668403761188</v>
      </c>
      <c r="H34" s="754">
        <f t="shared" ca="1" si="8"/>
        <v>0.19406658384311751</v>
      </c>
      <c r="I34" s="754">
        <f t="shared" ca="1" si="8"/>
        <v>0.19779929154177819</v>
      </c>
      <c r="J34" s="754">
        <f t="shared" ca="1" si="8"/>
        <v>0.19047214804982329</v>
      </c>
      <c r="K34" s="754">
        <f t="shared" ca="1" si="8"/>
        <v>0.15893898999265871</v>
      </c>
      <c r="L34" s="754">
        <f t="shared" ca="1" si="8"/>
        <v>0.15417338180727858</v>
      </c>
      <c r="M34" s="754">
        <f t="shared" ca="1" si="8"/>
        <v>0.14144974381898834</v>
      </c>
      <c r="N34" s="754">
        <f t="shared" ca="1" si="8"/>
        <v>0.13407320491509403</v>
      </c>
      <c r="O34" s="754">
        <f t="shared" ca="1" si="8"/>
        <v>0.14753774972203293</v>
      </c>
      <c r="P34" s="754">
        <f t="shared" ca="1" si="8"/>
        <v>0.5217088018939714</v>
      </c>
      <c r="Q34" s="755">
        <f t="shared" ca="1" si="8"/>
        <v>0.580620118565917</v>
      </c>
      <c r="R34" s="756">
        <f ca="1">SUMIFS($R$16:$R$25,$C$16:$C$25,$C34)/SUM($R$16:$R$25)</f>
        <v>0.19489769864730053</v>
      </c>
    </row>
    <row r="35" spans="2:19" ht="16.2" thickBot="1">
      <c r="B35" s="731"/>
      <c r="C35" s="47" t="s">
        <v>661</v>
      </c>
      <c r="F35" s="757">
        <f ca="1">SUM(F32:F34)</f>
        <v>0.99999999999999989</v>
      </c>
      <c r="G35" s="757">
        <f t="shared" ref="G35:R35" ca="1" si="9">SUM(G32:G34)</f>
        <v>1</v>
      </c>
      <c r="H35" s="757">
        <f t="shared" ca="1" si="9"/>
        <v>0.99999999999999989</v>
      </c>
      <c r="I35" s="757">
        <f t="shared" ca="1" si="9"/>
        <v>1</v>
      </c>
      <c r="J35" s="757">
        <f t="shared" ca="1" si="9"/>
        <v>1</v>
      </c>
      <c r="K35" s="757">
        <f t="shared" ca="1" si="9"/>
        <v>1</v>
      </c>
      <c r="L35" s="757">
        <f t="shared" ca="1" si="9"/>
        <v>1</v>
      </c>
      <c r="M35" s="757">
        <f t="shared" ca="1" si="9"/>
        <v>1</v>
      </c>
      <c r="N35" s="757">
        <f t="shared" ca="1" si="9"/>
        <v>0.99999999999999989</v>
      </c>
      <c r="O35" s="757">
        <f t="shared" ca="1" si="9"/>
        <v>1</v>
      </c>
      <c r="P35" s="757">
        <f t="shared" ca="1" si="9"/>
        <v>1</v>
      </c>
      <c r="Q35" s="758">
        <f t="shared" ca="1" si="9"/>
        <v>1</v>
      </c>
      <c r="R35" s="756">
        <f t="shared" ca="1" si="9"/>
        <v>1</v>
      </c>
    </row>
    <row r="36" spans="2:19" ht="16.2" thickBot="1">
      <c r="B36" s="732"/>
      <c r="C36" s="199" t="s">
        <v>681</v>
      </c>
      <c r="D36" s="199"/>
      <c r="E36" s="199"/>
      <c r="F36" s="759">
        <f ca="1">F33/(F32+F33)</f>
        <v>0.13901861517732167</v>
      </c>
      <c r="G36" s="759">
        <f t="shared" ref="G36:Q36" ca="1" si="10">G33/(G32+G33)</f>
        <v>0.18988712873724506</v>
      </c>
      <c r="H36" s="759">
        <f t="shared" ca="1" si="10"/>
        <v>0.19734236123984117</v>
      </c>
      <c r="I36" s="759">
        <f t="shared" ca="1" si="10"/>
        <v>0.17809724567169846</v>
      </c>
      <c r="J36" s="759">
        <f t="shared" ca="1" si="10"/>
        <v>0.21570683622982548</v>
      </c>
      <c r="K36" s="759">
        <f t="shared" ca="1" si="10"/>
        <v>0.1181195206921634</v>
      </c>
      <c r="L36" s="759">
        <f t="shared" ca="1" si="10"/>
        <v>0.14938148517410729</v>
      </c>
      <c r="M36" s="759">
        <f t="shared" ca="1" si="10"/>
        <v>0.23114715797203031</v>
      </c>
      <c r="N36" s="759">
        <f t="shared" ca="1" si="10"/>
        <v>0.27745051911796997</v>
      </c>
      <c r="O36" s="759">
        <f t="shared" ca="1" si="10"/>
        <v>0.19232845973142595</v>
      </c>
      <c r="P36" s="759">
        <f t="shared" ca="1" si="10"/>
        <v>1</v>
      </c>
      <c r="Q36" s="760">
        <f t="shared" ca="1" si="10"/>
        <v>1</v>
      </c>
      <c r="R36" s="733">
        <f ca="1">IFERROR(R33/(R32+R33),0)</f>
        <v>0.21997031360343158</v>
      </c>
      <c r="S36" s="197"/>
    </row>
    <row r="37" spans="2:19" ht="14.4" customHeight="1">
      <c r="R37" s="734" t="s">
        <v>689</v>
      </c>
      <c r="S37" s="735"/>
    </row>
    <row r="38" spans="2:19" ht="14.4" customHeight="1">
      <c r="R38" s="734"/>
      <c r="S38" s="735"/>
    </row>
    <row r="39" spans="2:19" ht="14.4" customHeight="1">
      <c r="R39" s="734"/>
      <c r="S39" s="735"/>
    </row>
    <row r="40" spans="2:19" ht="14.4" customHeight="1">
      <c r="R40" s="734"/>
      <c r="S40" s="735"/>
    </row>
    <row r="41" spans="2:19" ht="15" customHeight="1">
      <c r="R41" s="734"/>
      <c r="S41" s="735"/>
    </row>
    <row r="42" spans="2:19" ht="15" thickBot="1">
      <c r="R42" s="736"/>
      <c r="S42" s="737"/>
    </row>
  </sheetData>
  <sheetProtection algorithmName="SHA-512" hashValue="1oWSbl6vXPxmJpRUO8A24aIzduUwMTRWYJ9MiWdCZ3eIk5CVF/B+6P8NvynFyyb5si9SPZ7VuDRtwFgDs7cr2w==" saltValue="TjrZWlu/jR8oO/tQbsmInw==" spinCount="100000" sheet="1" objects="1" scenarios="1" formatCells="0" formatColumns="0" formatRows="0" insertRows="0" insertHyperlinks="0" sort="0" autoFilter="0" pivotTables="0"/>
  <mergeCells count="10">
    <mergeCell ref="B32:B36"/>
    <mergeCell ref="R37:S42"/>
    <mergeCell ref="F14:Q15"/>
    <mergeCell ref="R14:R15"/>
    <mergeCell ref="R30:R31"/>
    <mergeCell ref="B1:Q1"/>
    <mergeCell ref="B12:Q12"/>
    <mergeCell ref="B13:C13"/>
    <mergeCell ref="F3:Q3"/>
    <mergeCell ref="D3:E3"/>
  </mergeCells>
  <phoneticPr fontId="25" type="noConversion"/>
  <conditionalFormatting sqref="F29:Q29">
    <cfRule type="cellIs" dxfId="112" priority="1" operator="greaterThan">
      <formula>1</formula>
    </cfRule>
    <cfRule type="cellIs" dxfId="111" priority="2" operator="greaterThan">
      <formula>0.8</formula>
    </cfRule>
    <cfRule type="cellIs" dxfId="110" priority="3" operator="greaterThan">
      <formula>0</formula>
    </cfRule>
  </conditionalFormatting>
  <dataValidations count="2">
    <dataValidation type="list" allowBlank="1" showInputMessage="1" showErrorMessage="1" errorTitle="Type de tâche non valide" error="Choisissez PROD PRIMAIRE, TRANSFO ou MIXTE dans la liste." promptTitle="Type de tâche" prompt="Sélectionnez le type de tâche : PROD PRIMAIRE, TRANSFO ou MIXTE." sqref="C16:C25" xr:uid="{C717465D-A375-4324-A065-900CC0CB20F7}">
      <formula1>$C$32:$C$34</formula1>
    </dataValidation>
    <dataValidation type="list" allowBlank="1" showInputMessage="1" showErrorMessage="1" errorTitle="Statut invalide" error="Choisissez un statut dans la liste." sqref="R4:R5" xr:uid="{EDD8204F-846F-4363-B794-09F371BE87F2}">
      <formula1>"Indépendant à titre principal,Indépendant à titre complémentaire,Conjoint aidant (maxi-statut),Néant / non concerné"</formula1>
    </dataValidation>
  </dataValidations>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B0A60-2BFD-41FA-B9FE-7924F54E372F}">
  <sheetPr>
    <tabColor theme="9"/>
    <pageSetUpPr fitToPage="1"/>
  </sheetPr>
  <dimension ref="A1:AM104"/>
  <sheetViews>
    <sheetView showGridLines="0" tabSelected="1" topLeftCell="B4" zoomScale="85" zoomScaleNormal="85" zoomScaleSheetLayoutView="75" workbookViewId="0">
      <selection activeCell="E16" sqref="E16"/>
    </sheetView>
  </sheetViews>
  <sheetFormatPr baseColWidth="10" defaultColWidth="11.44140625" defaultRowHeight="13.8" outlineLevelRow="1" outlineLevelCol="1"/>
  <cols>
    <col min="1" max="1" width="10.6640625" style="174" hidden="1" customWidth="1" outlineLevel="1"/>
    <col min="2" max="2" width="62.44140625" style="49" customWidth="1" collapsed="1"/>
    <col min="3" max="3" width="17.77734375" style="49" customWidth="1"/>
    <col min="4" max="6" width="18.6640625" style="89" customWidth="1"/>
    <col min="7" max="7" width="11.33203125" style="49" customWidth="1"/>
    <col min="8" max="8" width="40.88671875" style="49" customWidth="1" outlineLevel="1"/>
    <col min="9" max="11" width="18" style="49" customWidth="1" outlineLevel="1"/>
    <col min="12" max="12" width="17.109375" style="49" customWidth="1" outlineLevel="1"/>
    <col min="13" max="13" width="15.88671875" style="49" customWidth="1" outlineLevel="1"/>
    <col min="14" max="14" width="15.6640625" style="49" customWidth="1" outlineLevel="1"/>
    <col min="15" max="15" width="31.109375" style="49" customWidth="1" outlineLevel="1"/>
    <col min="16" max="16" width="16.33203125" style="49" customWidth="1" outlineLevel="1"/>
    <col min="17" max="17" width="10.88671875" style="49" customWidth="1" outlineLevel="1"/>
    <col min="18" max="18" width="9.6640625" style="49" customWidth="1" outlineLevel="1"/>
    <col min="19" max="23" width="11.44140625" style="49" customWidth="1" outlineLevel="1"/>
    <col min="24" max="16384" width="11.44140625" style="49"/>
  </cols>
  <sheetData>
    <row r="1" spans="1:13" s="463" customFormat="1"/>
    <row r="2" spans="1:13" s="463" customFormat="1" ht="13.2" customHeight="1">
      <c r="B2" s="464"/>
      <c r="C2" s="464"/>
      <c r="D2" s="464"/>
      <c r="E2" s="464"/>
      <c r="F2" s="464"/>
      <c r="G2" s="464"/>
      <c r="H2" s="467"/>
      <c r="I2" s="467"/>
      <c r="J2" s="467"/>
      <c r="K2" s="467"/>
      <c r="L2" s="467"/>
      <c r="M2" s="467"/>
    </row>
    <row r="3" spans="1:13" s="463" customFormat="1" ht="13.2" customHeight="1">
      <c r="B3" s="464"/>
      <c r="C3" s="464"/>
      <c r="D3" s="464"/>
      <c r="E3" s="464"/>
      <c r="F3" s="464"/>
      <c r="G3" s="464"/>
      <c r="H3" s="467"/>
      <c r="I3" s="467"/>
      <c r="J3" s="467"/>
      <c r="K3" s="467"/>
      <c r="L3" s="467"/>
      <c r="M3" s="467"/>
    </row>
    <row r="4" spans="1:13" s="463" customFormat="1" ht="13.2" customHeight="1">
      <c r="B4" s="464"/>
      <c r="C4" s="464"/>
      <c r="D4" s="464"/>
      <c r="E4" s="464"/>
      <c r="F4" s="464"/>
      <c r="G4" s="464"/>
      <c r="H4" s="467"/>
      <c r="I4" s="467"/>
      <c r="J4" s="467"/>
      <c r="K4" s="467"/>
      <c r="L4" s="467"/>
      <c r="M4" s="467"/>
    </row>
    <row r="5" spans="1:13" s="463" customFormat="1" ht="13.2" customHeight="1">
      <c r="B5" s="464"/>
      <c r="C5" s="464"/>
      <c r="D5" s="464"/>
      <c r="E5" s="464"/>
      <c r="F5" s="464"/>
      <c r="G5" s="464"/>
    </row>
    <row r="6" spans="1:13" s="463" customFormat="1" ht="13.2" customHeight="1">
      <c r="B6" s="464"/>
      <c r="C6" s="464"/>
      <c r="D6" s="464"/>
      <c r="E6" s="464"/>
      <c r="F6" s="464"/>
      <c r="G6" s="464"/>
    </row>
    <row r="7" spans="1:13">
      <c r="A7" s="85"/>
      <c r="D7" s="49"/>
      <c r="E7" s="49"/>
      <c r="F7" s="606"/>
      <c r="G7" s="606"/>
    </row>
    <row r="8" spans="1:13" ht="14.4" thickBot="1"/>
    <row r="9" spans="1:13" ht="14.4" thickBot="1">
      <c r="B9" s="175"/>
      <c r="C9" s="175"/>
      <c r="E9" s="761" t="s">
        <v>80</v>
      </c>
      <c r="G9" s="49" t="s">
        <v>516</v>
      </c>
    </row>
    <row r="10" spans="1:13" ht="15" thickBot="1">
      <c r="B10" s="176"/>
      <c r="C10" s="609">
        <f>'1. DONNEES DE BASE'!$B$1-2</f>
        <v>2024</v>
      </c>
      <c r="D10" s="609">
        <f>C10+1</f>
        <v>2025</v>
      </c>
      <c r="E10" s="609">
        <f t="shared" ref="E10:F10" si="0">D10+1</f>
        <v>2026</v>
      </c>
      <c r="F10" s="609">
        <f t="shared" si="0"/>
        <v>2027</v>
      </c>
    </row>
    <row r="11" spans="1:13" ht="14.25" customHeight="1" thickBot="1">
      <c r="A11" s="177">
        <v>0</v>
      </c>
      <c r="B11" s="178" t="s">
        <v>198</v>
      </c>
      <c r="C11" s="779">
        <f ca="1">+C16+C21</f>
        <v>54295.280229861637</v>
      </c>
      <c r="D11" s="779">
        <f ca="1">+D16+D21</f>
        <v>84068.626638490576</v>
      </c>
      <c r="E11" s="779">
        <f ca="1">+E16+E21</f>
        <v>109470.35391551364</v>
      </c>
      <c r="F11" s="779">
        <f ca="1">+F16+F21</f>
        <v>2192.9577084905659</v>
      </c>
    </row>
    <row r="12" spans="1:13" ht="15" thickBot="1">
      <c r="B12" s="179" t="s">
        <v>199</v>
      </c>
      <c r="C12" s="780">
        <f ca="1">'5. RESUME GAMME - CACV'!U34</f>
        <v>57747.847924528302</v>
      </c>
      <c r="D12" s="781">
        <f ca="1">'5. RESUME GAMME - CACV'!U47</f>
        <v>88240.377358490572</v>
      </c>
      <c r="E12" s="782">
        <f ca="1">'5. RESUME GAMME - CACV'!U60</f>
        <v>137535.56603773584</v>
      </c>
      <c r="F12" s="783">
        <f ca="1">'5. RESUME GAMME - CACV'!U82</f>
        <v>1778.3773584905659</v>
      </c>
    </row>
    <row r="13" spans="1:13" ht="15" thickBot="1">
      <c r="B13" s="179" t="s">
        <v>351</v>
      </c>
      <c r="C13" s="780">
        <f ca="1">'5. RESUME GAMME - CACV'!U32</f>
        <v>1754.7571193333331</v>
      </c>
      <c r="D13" s="781">
        <f ca="1">'5. RESUME GAMME - CACV'!U45</f>
        <v>4079.1949066666675</v>
      </c>
      <c r="E13" s="782">
        <f ca="1">'5. RESUME GAMME - CACV'!U58</f>
        <v>-16410.554222222221</v>
      </c>
      <c r="F13" s="783">
        <f ca="1">'5. RESUME GAMME - CACV'!U80</f>
        <v>580.23030999999992</v>
      </c>
    </row>
    <row r="14" spans="1:13" ht="14.4">
      <c r="B14" s="179" t="s">
        <v>204</v>
      </c>
      <c r="C14" s="780">
        <f ca="1">'5. RESUME GAMME - CACV'!U34-'5. RESUME GAMME - CACV'!U35</f>
        <v>15476.324814</v>
      </c>
      <c r="D14" s="781">
        <f ca="1">'5. RESUME GAMME - CACV'!U47-'5. RESUME GAMME - CACV'!U48</f>
        <v>24522.056737777784</v>
      </c>
      <c r="E14" s="782">
        <f ca="1">'5. RESUME GAMME - CACV'!U60-'5. RESUME GAMME - CACV'!U61</f>
        <v>34637.99123333332</v>
      </c>
      <c r="F14" s="783">
        <f ca="1">'5. RESUME GAMME - CACV'!U82-'5. RESUME GAMME - CACV'!U83</f>
        <v>492.31662666666648</v>
      </c>
    </row>
    <row r="15" spans="1:13" ht="14.4" thickBot="1">
      <c r="B15" s="49" t="s">
        <v>350</v>
      </c>
      <c r="C15" s="62"/>
      <c r="D15" s="62"/>
      <c r="E15" s="62"/>
      <c r="F15" s="62"/>
    </row>
    <row r="16" spans="1:13" ht="15" thickBot="1">
      <c r="A16" s="180">
        <v>611</v>
      </c>
      <c r="B16" s="762" t="s">
        <v>207</v>
      </c>
      <c r="C16" s="784">
        <f ca="1">C12+C13-C14-C15</f>
        <v>44026.280229861637</v>
      </c>
      <c r="D16" s="784">
        <f ca="1">D12+D13-D14-D15</f>
        <v>67797.515527379466</v>
      </c>
      <c r="E16" s="784">
        <f ca="1">E12+E13-E14-E15</f>
        <v>86487.02058218031</v>
      </c>
      <c r="F16" s="784">
        <f ca="1">F12+F13-F14-F15</f>
        <v>1866.2910418238991</v>
      </c>
    </row>
    <row r="17" spans="1:39" ht="15" outlineLevel="1" thickBot="1">
      <c r="B17" s="181" t="s">
        <v>208</v>
      </c>
      <c r="C17" s="181"/>
      <c r="D17" s="182"/>
      <c r="E17" s="183"/>
      <c r="F17" s="184"/>
    </row>
    <row r="18" spans="1:39" ht="15" outlineLevel="1" thickBot="1">
      <c r="B18" s="181" t="s">
        <v>209</v>
      </c>
      <c r="C18" s="181"/>
      <c r="D18" s="182"/>
      <c r="E18" s="183"/>
      <c r="F18" s="184"/>
    </row>
    <row r="19" spans="1:39" ht="15" outlineLevel="1" thickBot="1">
      <c r="B19" s="179" t="s">
        <v>506</v>
      </c>
      <c r="C19" s="780">
        <f ca="1">'5. RESUME GAMME - CACV'!U33</f>
        <v>10269</v>
      </c>
      <c r="D19" s="781">
        <f ca="1">'5. RESUME GAMME - CACV'!U46</f>
        <v>16271.111111111111</v>
      </c>
      <c r="E19" s="782">
        <f ca="1">'5. RESUME GAMME - CACV'!U59</f>
        <v>22983.333333333336</v>
      </c>
      <c r="F19" s="783">
        <f ca="1">'5. RESUME GAMME - CACV'!U81</f>
        <v>326.66666666666669</v>
      </c>
    </row>
    <row r="20" spans="1:39" ht="15" outlineLevel="1" thickBot="1">
      <c r="A20" s="763" t="s">
        <v>97</v>
      </c>
      <c r="B20" s="181"/>
      <c r="C20" s="181"/>
      <c r="D20" s="182"/>
      <c r="E20" s="183"/>
      <c r="F20" s="184"/>
      <c r="AM20" s="764"/>
    </row>
    <row r="21" spans="1:39" ht="14.25" customHeight="1" thickBot="1">
      <c r="A21" s="180">
        <v>6116</v>
      </c>
      <c r="B21" s="762" t="s">
        <v>210</v>
      </c>
      <c r="C21" s="785">
        <f ca="1">SUM(C17:C20)</f>
        <v>10269</v>
      </c>
      <c r="D21" s="785">
        <f ca="1">SUM(D17:D20)</f>
        <v>16271.111111111111</v>
      </c>
      <c r="E21" s="785">
        <f ca="1">SUM(E17:E20)</f>
        <v>22983.333333333336</v>
      </c>
      <c r="F21" s="785">
        <f ca="1">SUM(F17:F20)</f>
        <v>326.66666666666669</v>
      </c>
    </row>
    <row r="22" spans="1:39" ht="14.25" customHeight="1" thickBot="1">
      <c r="A22" s="102">
        <v>6110</v>
      </c>
      <c r="B22" s="185"/>
      <c r="C22" s="185"/>
      <c r="D22" s="186"/>
      <c r="E22" s="186"/>
      <c r="F22" s="186"/>
    </row>
    <row r="23" spans="1:39" ht="14.25" customHeight="1" thickBot="1">
      <c r="A23" s="177">
        <v>6112</v>
      </c>
      <c r="B23" s="187" t="s">
        <v>100</v>
      </c>
      <c r="C23" s="11">
        <f>'4. CHARGES FIXES'!H21</f>
        <v>174.75728155339806</v>
      </c>
      <c r="D23" s="11">
        <f>'4. CHARGES FIXES'!I21</f>
        <v>180</v>
      </c>
      <c r="E23" s="11">
        <f>'4. CHARGES FIXES'!J21</f>
        <v>185.4</v>
      </c>
      <c r="F23" s="11">
        <f>'4. CHARGES FIXES'!K21</f>
        <v>190.96200000000002</v>
      </c>
    </row>
    <row r="24" spans="1:39" ht="14.25" customHeight="1" thickBot="1">
      <c r="A24" s="108">
        <v>6122</v>
      </c>
      <c r="B24" s="187" t="s">
        <v>108</v>
      </c>
      <c r="C24" s="11">
        <f ca="1">'4. CHARGES FIXES'!H30</f>
        <v>52.356741131743405</v>
      </c>
      <c r="D24" s="11">
        <f ca="1">'4. CHARGES FIXES'!I30</f>
        <v>53.927443365695723</v>
      </c>
      <c r="E24" s="11">
        <f ca="1">'4. CHARGES FIXES'!J30</f>
        <v>55.545266666666606</v>
      </c>
      <c r="F24" s="11">
        <f ca="1">'4. CHARGES FIXES'!K30</f>
        <v>57.211624666666609</v>
      </c>
    </row>
    <row r="25" spans="1:39" ht="14.25" customHeight="1" thickBot="1">
      <c r="A25" s="104">
        <v>61325</v>
      </c>
      <c r="B25" s="187" t="s">
        <v>116</v>
      </c>
      <c r="C25" s="11">
        <f>'4. CHARGES FIXES'!H41</f>
        <v>174.75728155339806</v>
      </c>
      <c r="D25" s="11">
        <f>'4. CHARGES FIXES'!I41</f>
        <v>180</v>
      </c>
      <c r="E25" s="11">
        <f>'4. CHARGES FIXES'!J41</f>
        <v>185.4</v>
      </c>
      <c r="F25" s="11">
        <f>'4. CHARGES FIXES'!K41</f>
        <v>190.96200000000002</v>
      </c>
    </row>
    <row r="26" spans="1:39" ht="14.25" customHeight="1" thickBot="1">
      <c r="A26" s="108">
        <v>6146</v>
      </c>
      <c r="B26" s="187" t="s">
        <v>125</v>
      </c>
      <c r="C26" s="11">
        <f>'4. CHARGES FIXES'!H50</f>
        <v>145.63106796116503</v>
      </c>
      <c r="D26" s="11">
        <f>'4. CHARGES FIXES'!I50</f>
        <v>150</v>
      </c>
      <c r="E26" s="11">
        <f>'4. CHARGES FIXES'!J50</f>
        <v>154.5</v>
      </c>
      <c r="F26" s="11">
        <f>'4. CHARGES FIXES'!K50</f>
        <v>159.13500000000002</v>
      </c>
    </row>
    <row r="27" spans="1:39" ht="14.25" customHeight="1" thickBot="1">
      <c r="A27" s="110">
        <v>6162</v>
      </c>
      <c r="B27" s="187" t="s">
        <v>130</v>
      </c>
      <c r="C27" s="11">
        <f>'4. CHARGES FIXES'!H56</f>
        <v>29.126213592233007</v>
      </c>
      <c r="D27" s="11">
        <f>'4. CHARGES FIXES'!I56</f>
        <v>30</v>
      </c>
      <c r="E27" s="11">
        <f>'4. CHARGES FIXES'!J56</f>
        <v>30.900000000000002</v>
      </c>
      <c r="F27" s="11">
        <f>'4. CHARGES FIXES'!K56</f>
        <v>31.827000000000002</v>
      </c>
    </row>
    <row r="28" spans="1:39" ht="14.25" customHeight="1" thickBot="1">
      <c r="A28" s="110">
        <v>6163</v>
      </c>
      <c r="B28" s="187" t="s">
        <v>131</v>
      </c>
      <c r="C28" s="11">
        <f>'4. CHARGES FIXES'!H57</f>
        <v>233.00970873786403</v>
      </c>
      <c r="D28" s="11">
        <f>'4. CHARGES FIXES'!I57</f>
        <v>240</v>
      </c>
      <c r="E28" s="11">
        <f>'4. CHARGES FIXES'!J57</f>
        <v>247.20000000000002</v>
      </c>
      <c r="F28" s="11">
        <f>'4. CHARGES FIXES'!K57</f>
        <v>254.61600000000001</v>
      </c>
    </row>
    <row r="29" spans="1:39" ht="14.25" customHeight="1" thickBot="1">
      <c r="A29" s="108">
        <v>61812</v>
      </c>
      <c r="B29" s="187" t="s">
        <v>139</v>
      </c>
      <c r="C29" s="11">
        <f>'4. CHARGES FIXES'!H66</f>
        <v>58.252427184466015</v>
      </c>
      <c r="D29" s="11">
        <f>'4. CHARGES FIXES'!I66</f>
        <v>60</v>
      </c>
      <c r="E29" s="11">
        <f>'4. CHARGES FIXES'!J66</f>
        <v>61.800000000000004</v>
      </c>
      <c r="F29" s="11">
        <f>'4. CHARGES FIXES'!K66</f>
        <v>63.654000000000003</v>
      </c>
    </row>
    <row r="30" spans="1:39" ht="14.25" customHeight="1" thickBot="1">
      <c r="A30" s="108">
        <v>623</v>
      </c>
      <c r="B30" s="187" t="s">
        <v>143</v>
      </c>
      <c r="C30" s="11">
        <f ca="1">'4. CHARGES FIXES'!H70</f>
        <v>8115.4096280877675</v>
      </c>
      <c r="D30" s="11">
        <f ca="1">'4. CHARGES FIXES'!I70</f>
        <v>8358.8719169304004</v>
      </c>
      <c r="E30" s="11">
        <f ca="1">'4. CHARGES FIXES'!J70</f>
        <v>8609.6380744383132</v>
      </c>
      <c r="F30" s="11">
        <f ca="1">'4. CHARGES FIXES'!K70</f>
        <v>8867.9272166714636</v>
      </c>
    </row>
    <row r="31" spans="1:39" ht="14.25" customHeight="1" thickBot="1">
      <c r="A31" s="110">
        <v>6402</v>
      </c>
      <c r="B31" s="187" t="s">
        <v>144</v>
      </c>
      <c r="C31" s="11">
        <f>'4. CHARGES FIXES'!H71</f>
        <v>12390</v>
      </c>
      <c r="D31" s="11">
        <f>'4. CHARGES FIXES'!I71</f>
        <v>10130</v>
      </c>
      <c r="E31" s="11">
        <f>'4. CHARGES FIXES'!J71</f>
        <v>10130</v>
      </c>
      <c r="F31" s="11">
        <f>'4. CHARGES FIXES'!K71</f>
        <v>10130</v>
      </c>
    </row>
    <row r="32" spans="1:39" ht="14.25" customHeight="1" thickBot="1">
      <c r="A32" s="110">
        <v>6404</v>
      </c>
      <c r="B32" s="187" t="s">
        <v>145</v>
      </c>
      <c r="C32" s="11">
        <f>'4. CHARGES FIXES'!H72</f>
        <v>11.650485436893204</v>
      </c>
      <c r="D32" s="11">
        <f>'4. CHARGES FIXES'!I72</f>
        <v>12</v>
      </c>
      <c r="E32" s="11">
        <f>'4. CHARGES FIXES'!J72</f>
        <v>12.36</v>
      </c>
      <c r="F32" s="11">
        <f>'4. CHARGES FIXES'!K72</f>
        <v>12.7308</v>
      </c>
    </row>
    <row r="33" spans="1:7" ht="14.25" customHeight="1" thickBot="1">
      <c r="A33" s="111">
        <v>658</v>
      </c>
      <c r="B33" s="187" t="s">
        <v>150</v>
      </c>
      <c r="C33" s="11">
        <f>'4. CHARGES FIXES'!H77</f>
        <v>8.7378640776699026</v>
      </c>
      <c r="D33" s="11">
        <f>'4. CHARGES FIXES'!I77</f>
        <v>9</v>
      </c>
      <c r="E33" s="11">
        <f>'4. CHARGES FIXES'!J77</f>
        <v>9.27</v>
      </c>
      <c r="F33" s="11">
        <f>'4. CHARGES FIXES'!K77</f>
        <v>9.5480999999999998</v>
      </c>
    </row>
    <row r="34" spans="1:7" ht="14.25" customHeight="1" thickBot="1">
      <c r="A34" s="188"/>
      <c r="B34" s="187" t="s">
        <v>154</v>
      </c>
      <c r="C34" s="11">
        <f>'4. CHARGES FIXES'!H81</f>
        <v>1471.5224120256039</v>
      </c>
      <c r="D34" s="11">
        <f>'4. CHARGES FIXES'!I81</f>
        <v>1515.6680843863721</v>
      </c>
      <c r="E34" s="11">
        <f>'4. CHARGES FIXES'!J81</f>
        <v>1561.1381269179633</v>
      </c>
      <c r="F34" s="11">
        <f>'4. CHARGES FIXES'!K81</f>
        <v>1607.9722707255023</v>
      </c>
    </row>
    <row r="35" spans="1:7" ht="15" thickBot="1">
      <c r="B35" s="765" t="s">
        <v>230</v>
      </c>
      <c r="C35" s="12">
        <f ca="1">SUM(C34,C33,C32,C31,C30,C29,C28,C27,C26,C25,C24,C23)</f>
        <v>22865.211111342196</v>
      </c>
      <c r="D35" s="12">
        <f ca="1">SUM(D34,D33,D32,D31,D30,D29,D28,D27,D26,D25,D24,D23)</f>
        <v>20919.467444682472</v>
      </c>
      <c r="E35" s="12">
        <f ca="1">SUM(E34,E33,E32,E31,E30,E29,E28,E27,E26,E25,E24,E23)</f>
        <v>21243.151468022948</v>
      </c>
      <c r="F35" s="12">
        <f ca="1">SUM(F34,F33,F32,F31,F30,F29,F28,F27,F26,F25,F24,F23)</f>
        <v>21576.546012063631</v>
      </c>
    </row>
    <row r="36" spans="1:7" ht="15" thickBot="1">
      <c r="B36" s="185"/>
      <c r="C36" s="185"/>
      <c r="D36" s="186"/>
      <c r="E36" s="186"/>
      <c r="F36" s="186"/>
    </row>
    <row r="37" spans="1:7" ht="15" thickBot="1">
      <c r="B37" s="765" t="s">
        <v>693</v>
      </c>
      <c r="C37" s="13">
        <f ca="1" xml:space="preserve"> C11-C35</f>
        <v>31430.069118519441</v>
      </c>
      <c r="D37" s="13">
        <f ca="1" xml:space="preserve"> D11-D35</f>
        <v>63149.159193808104</v>
      </c>
      <c r="E37" s="13">
        <f ca="1" xml:space="preserve"> E11-E35</f>
        <v>88227.202447490694</v>
      </c>
      <c r="F37" s="13">
        <f ca="1" xml:space="preserve"> F11-F35</f>
        <v>-19383.588303573066</v>
      </c>
    </row>
    <row r="38" spans="1:7" ht="15" thickBot="1">
      <c r="B38" s="766" t="s">
        <v>695</v>
      </c>
      <c r="C38" s="13">
        <f ca="1">C39-C37</f>
        <v>13569.930881480559</v>
      </c>
      <c r="D38" s="13">
        <f ca="1">D39-D37</f>
        <v>21850.840806191896</v>
      </c>
      <c r="E38" s="13">
        <f ca="1">E39-E37</f>
        <v>-3227.2024474906939</v>
      </c>
      <c r="F38" s="13">
        <f ca="1">F39-F37</f>
        <v>104383.58830357307</v>
      </c>
    </row>
    <row r="39" spans="1:7" ht="15" thickBot="1">
      <c r="B39" s="766" t="s">
        <v>707</v>
      </c>
      <c r="C39" s="13">
        <f>'1. DONNEES DE BASE'!B8</f>
        <v>45000</v>
      </c>
      <c r="D39" s="13">
        <f>'1. DONNEES DE BASE'!C8</f>
        <v>85000</v>
      </c>
      <c r="E39" s="767">
        <f>D39</f>
        <v>85000</v>
      </c>
      <c r="F39" s="767">
        <f>D39</f>
        <v>85000</v>
      </c>
      <c r="G39" s="49" t="s">
        <v>699</v>
      </c>
    </row>
    <row r="40" spans="1:7" ht="14.4" thickBot="1">
      <c r="D40" s="49"/>
      <c r="E40" s="49"/>
      <c r="F40" s="49"/>
    </row>
    <row r="41" spans="1:7" ht="15" thickBot="1">
      <c r="B41" s="768" t="s">
        <v>234</v>
      </c>
      <c r="C41" s="609">
        <f>'1. DONNEES DE BASE'!$B$1-2</f>
        <v>2024</v>
      </c>
      <c r="D41" s="609">
        <f>C41+1</f>
        <v>2025</v>
      </c>
      <c r="E41" s="609">
        <f t="shared" ref="E41:F41" si="1">D41+1</f>
        <v>2026</v>
      </c>
      <c r="F41" s="609">
        <f t="shared" si="1"/>
        <v>2027</v>
      </c>
    </row>
    <row r="42" spans="1:7" ht="14.4">
      <c r="B42" s="769" t="s">
        <v>235</v>
      </c>
      <c r="C42" s="781">
        <f ca="1">IFERROR((C35/(1-(C14+C13)/C12)),0)</f>
        <v>32589.39112531771</v>
      </c>
      <c r="D42" s="781">
        <f ca="1">IFERROR((D35/(1-(D14+D13)/D12)),0)</f>
        <v>30951.857180271953</v>
      </c>
      <c r="E42" s="782">
        <f ca="1">IFERROR((E35/(1-(E14+E13)/E12)),0)</f>
        <v>24488.59843345538</v>
      </c>
      <c r="F42" s="783">
        <f ca="1">IFERROR((F35/(1-(F14+F13)/F12)),0)</f>
        <v>54363.257399887581</v>
      </c>
    </row>
    <row r="43" spans="1:7" ht="15" thickBot="1">
      <c r="B43" s="770" t="s">
        <v>236</v>
      </c>
      <c r="C43" s="786">
        <f ca="1">C42/12</f>
        <v>2715.782593776476</v>
      </c>
      <c r="D43" s="786">
        <f ca="1">D42/12</f>
        <v>2579.3214316893295</v>
      </c>
      <c r="E43" s="787">
        <f ca="1">E42/12</f>
        <v>2040.7165361212817</v>
      </c>
      <c r="F43" s="788">
        <f ca="1">F42/12</f>
        <v>4530.2714499906315</v>
      </c>
    </row>
    <row r="44" spans="1:7">
      <c r="D44" s="49"/>
      <c r="E44" s="49"/>
      <c r="F44" s="49"/>
    </row>
    <row r="45" spans="1:7" ht="18">
      <c r="B45" s="365" t="s">
        <v>700</v>
      </c>
      <c r="C45" s="365"/>
      <c r="D45" s="365"/>
      <c r="E45" s="365"/>
      <c r="F45" s="365"/>
    </row>
    <row r="46" spans="1:7" ht="14.4" thickBot="1">
      <c r="D46" s="49"/>
      <c r="E46" s="49"/>
      <c r="F46" s="49"/>
    </row>
    <row r="47" spans="1:7" ht="15" thickBot="1">
      <c r="B47" s="771" t="s">
        <v>710</v>
      </c>
      <c r="C47" s="772"/>
      <c r="D47" s="773"/>
      <c r="E47" s="773"/>
      <c r="F47" s="774"/>
    </row>
    <row r="48" spans="1:7" ht="14.4">
      <c r="B48" s="775" t="s">
        <v>708</v>
      </c>
      <c r="C48" s="789">
        <f ca="1">C37+C38</f>
        <v>45000</v>
      </c>
      <c r="D48" s="789">
        <f ca="1">D37+D38</f>
        <v>85000</v>
      </c>
      <c r="E48" s="789">
        <f ca="1">E37+E38</f>
        <v>85000</v>
      </c>
      <c r="F48" s="789">
        <f ca="1">F37+F38</f>
        <v>85000</v>
      </c>
    </row>
    <row r="49" spans="2:7" ht="21" customHeight="1" thickBot="1">
      <c r="B49" s="362" t="s">
        <v>709</v>
      </c>
      <c r="C49" s="189">
        <f ca="1">-'14. CALCUL IMPOT'!B8</f>
        <v>-9000</v>
      </c>
      <c r="D49" s="189">
        <f ca="1">-'14. CALCUL IMPOT'!C8</f>
        <v>-17000</v>
      </c>
      <c r="E49" s="189">
        <f ca="1">-'14. CALCUL IMPOT'!D8</f>
        <v>-17000</v>
      </c>
      <c r="F49" s="189">
        <f ca="1">-'14. CALCUL IMPOT'!E8</f>
        <v>-17000</v>
      </c>
      <c r="G49" s="49" t="s">
        <v>352</v>
      </c>
    </row>
    <row r="50" spans="2:7" ht="15" thickBot="1">
      <c r="B50" s="194" t="s">
        <v>755</v>
      </c>
      <c r="C50" s="790">
        <f ca="1">-'14. CALCUL IMPOT'!B78</f>
        <v>-10941.265197628571</v>
      </c>
      <c r="D50" s="790">
        <f ca="1">-'14. CALCUL IMPOT'!C78</f>
        <v>-17441.912816676188</v>
      </c>
      <c r="E50" s="790">
        <f ca="1">-'14. CALCUL IMPOT'!D78</f>
        <v>-17441.912816676188</v>
      </c>
      <c r="F50" s="790">
        <f ca="1">-'14. CALCUL IMPOT'!E78</f>
        <v>-17441.912816676188</v>
      </c>
    </row>
    <row r="51" spans="2:7" ht="15" thickBot="1">
      <c r="B51" s="194" t="s">
        <v>756</v>
      </c>
      <c r="C51" s="790">
        <f ca="1">-'14. CALCUL IMPOT'!B79</f>
        <v>-5773.4967857142856</v>
      </c>
      <c r="D51" s="790">
        <f ca="1">-'14. CALCUL IMPOT'!C79</f>
        <v>-16646.516785714284</v>
      </c>
      <c r="E51" s="790">
        <f ca="1">-'14. CALCUL IMPOT'!D79</f>
        <v>-16646.516785714284</v>
      </c>
      <c r="F51" s="790">
        <f ca="1">-'14. CALCUL IMPOT'!E79</f>
        <v>-16646.516785714284</v>
      </c>
    </row>
    <row r="52" spans="2:7" ht="15" thickBot="1">
      <c r="B52" s="194" t="s">
        <v>711</v>
      </c>
      <c r="C52" s="790">
        <f ca="1">SUM(C48:C51)</f>
        <v>19285.238016657146</v>
      </c>
      <c r="D52" s="790">
        <f ca="1">SUM(D48:D51)</f>
        <v>33911.570397609525</v>
      </c>
      <c r="E52" s="790">
        <f ca="1">SUM(E48:E51)</f>
        <v>33911.570397609525</v>
      </c>
      <c r="F52" s="790">
        <f ca="1">SUM(F48:F51)</f>
        <v>33911.570397609525</v>
      </c>
    </row>
    <row r="53" spans="2:7" ht="14.4">
      <c r="B53" s="194" t="s">
        <v>712</v>
      </c>
      <c r="C53" s="791">
        <f ca="1">C52/C48</f>
        <v>0.42856084481460321</v>
      </c>
      <c r="D53" s="791">
        <f ca="1">D52/D48</f>
        <v>0.39895965173658265</v>
      </c>
      <c r="E53" s="791">
        <f ca="1">E52/E48</f>
        <v>0.39895965173658265</v>
      </c>
      <c r="F53" s="791">
        <f ca="1">F52/F48</f>
        <v>0.39895965173658265</v>
      </c>
    </row>
    <row r="54" spans="2:7" ht="15" thickBot="1">
      <c r="B54" s="190"/>
      <c r="C54" s="186"/>
      <c r="D54" s="186"/>
      <c r="E54" s="186"/>
      <c r="F54" s="49"/>
    </row>
    <row r="55" spans="2:7" ht="15" thickBot="1">
      <c r="B55" s="771" t="s">
        <v>323</v>
      </c>
      <c r="C55" s="772"/>
      <c r="D55" s="773"/>
      <c r="E55" s="773"/>
      <c r="F55" s="774"/>
    </row>
    <row r="56" spans="2:7" ht="15" thickBot="1">
      <c r="B56" s="766" t="s">
        <v>701</v>
      </c>
      <c r="C56" s="13">
        <f>C31</f>
        <v>12390</v>
      </c>
      <c r="D56" s="13">
        <f>D31</f>
        <v>10130</v>
      </c>
      <c r="E56" s="13">
        <f>E31</f>
        <v>10130</v>
      </c>
      <c r="F56" s="13">
        <f>F31</f>
        <v>10130</v>
      </c>
    </row>
    <row r="57" spans="2:7" ht="19.2" customHeight="1" thickBot="1">
      <c r="B57" s="766" t="s">
        <v>702</v>
      </c>
      <c r="C57" s="13">
        <f>C58-C56</f>
        <v>22610</v>
      </c>
      <c r="D57" s="13">
        <f>D58-D56</f>
        <v>14870</v>
      </c>
      <c r="E57" s="13">
        <f>D57/D56*E56</f>
        <v>14870</v>
      </c>
      <c r="F57" s="13">
        <f>E57/E56*F56</f>
        <v>14870</v>
      </c>
    </row>
    <row r="58" spans="2:7" ht="19.2" customHeight="1" thickBot="1">
      <c r="B58" s="765" t="s">
        <v>703</v>
      </c>
      <c r="C58" s="13">
        <f>'1. DONNEES DE BASE'!B9</f>
        <v>35000</v>
      </c>
      <c r="D58" s="13">
        <f>'1. DONNEES DE BASE'!C9</f>
        <v>25000</v>
      </c>
      <c r="E58" s="13">
        <f>SUM(E56:E57)</f>
        <v>25000</v>
      </c>
      <c r="F58" s="13">
        <f>SUM(F56:F57)</f>
        <v>25000</v>
      </c>
    </row>
    <row r="59" spans="2:7" ht="19.2" customHeight="1" thickBot="1">
      <c r="B59" s="190"/>
      <c r="C59" s="186"/>
      <c r="D59" s="186"/>
      <c r="E59" s="186"/>
      <c r="F59" s="49"/>
    </row>
    <row r="60" spans="2:7" ht="15" customHeight="1">
      <c r="B60" s="775" t="s">
        <v>231</v>
      </c>
      <c r="C60" s="775"/>
      <c r="D60" s="776"/>
      <c r="E60" s="777"/>
      <c r="F60" s="778"/>
    </row>
    <row r="61" spans="2:7" ht="15" customHeight="1">
      <c r="B61" s="191" t="s">
        <v>232</v>
      </c>
      <c r="C61" s="792">
        <f ca="1">C52+C58</f>
        <v>54285.238016657146</v>
      </c>
      <c r="D61" s="792">
        <f t="shared" ref="D61:F61" ca="1" si="2">D52+D58</f>
        <v>58911.570397609525</v>
      </c>
      <c r="E61" s="792">
        <f t="shared" ca="1" si="2"/>
        <v>58911.570397609525</v>
      </c>
      <c r="F61" s="792">
        <f t="shared" ca="1" si="2"/>
        <v>58911.570397609525</v>
      </c>
    </row>
    <row r="62" spans="2:7" ht="15" customHeight="1" thickBot="1">
      <c r="B62" s="192" t="s">
        <v>706</v>
      </c>
      <c r="C62" s="193">
        <f>'1. DONNEES DE BASE'!B10</f>
        <v>25000</v>
      </c>
      <c r="D62" s="193">
        <f>'1. DONNEES DE BASE'!C10</f>
        <v>20000</v>
      </c>
      <c r="E62" s="363">
        <f>D62</f>
        <v>20000</v>
      </c>
      <c r="F62" s="364">
        <f>E62</f>
        <v>20000</v>
      </c>
      <c r="G62" s="49" t="s">
        <v>705</v>
      </c>
    </row>
    <row r="63" spans="2:7" ht="15" thickBot="1">
      <c r="B63" s="765" t="s">
        <v>233</v>
      </c>
      <c r="C63" s="793">
        <f ca="1">C61-SUM(C62:C62)</f>
        <v>29285.238016657146</v>
      </c>
      <c r="D63" s="793">
        <f ca="1">D61-SUM(D62:D62)</f>
        <v>38911.570397609525</v>
      </c>
      <c r="E63" s="794">
        <f ca="1">E61-SUM(E62:E62)</f>
        <v>38911.570397609525</v>
      </c>
      <c r="F63" s="795">
        <f ca="1">F61-SUM(F62:F62)</f>
        <v>38911.570397609525</v>
      </c>
    </row>
    <row r="64" spans="2:7" ht="14.4">
      <c r="B64" s="194"/>
      <c r="C64" s="190"/>
      <c r="D64" s="186"/>
      <c r="E64" s="186"/>
      <c r="F64" s="186"/>
    </row>
    <row r="65" s="49" customFormat="1"/>
    <row r="66" s="49" customFormat="1"/>
    <row r="67" s="49" customFormat="1" ht="18.45" customHeight="1" outlineLevel="1"/>
    <row r="68" s="49" customFormat="1" ht="18.45" customHeight="1" outlineLevel="1"/>
    <row r="69" s="49" customFormat="1" ht="18.45" customHeight="1" outlineLevel="1"/>
    <row r="70" s="49" customFormat="1" ht="18.45" customHeight="1" outlineLevel="1"/>
    <row r="71" s="49" customFormat="1" ht="20.25" customHeight="1" outlineLevel="1"/>
    <row r="72" s="49" customFormat="1" ht="20.25" customHeight="1" outlineLevel="1"/>
    <row r="73" s="49" customFormat="1" ht="20.25" customHeight="1" outlineLevel="1"/>
    <row r="74" s="49" customFormat="1" ht="20.25" customHeight="1" outlineLevel="1"/>
    <row r="75" s="49" customFormat="1" ht="18.600000000000001" customHeight="1" outlineLevel="1"/>
    <row r="76" s="49" customFormat="1" ht="20.25" customHeight="1" outlineLevel="1"/>
    <row r="77" s="49" customFormat="1" ht="20.25" customHeight="1" outlineLevel="1"/>
    <row r="78" s="49" customFormat="1" ht="20.25" customHeight="1" outlineLevel="1"/>
    <row r="79" s="49" customFormat="1" ht="8.4" customHeight="1" outlineLevel="1"/>
    <row r="80" s="49" customFormat="1" ht="18.600000000000001" customHeight="1" outlineLevel="1"/>
    <row r="81" spans="1:7" outlineLevel="1">
      <c r="A81" s="49"/>
      <c r="D81" s="49"/>
      <c r="E81" s="49"/>
      <c r="F81" s="49"/>
    </row>
    <row r="82" spans="1:7" outlineLevel="1">
      <c r="A82" s="49"/>
      <c r="D82" s="49"/>
      <c r="E82" s="49"/>
      <c r="F82" s="49"/>
    </row>
    <row r="83" spans="1:7" outlineLevel="1">
      <c r="A83" s="49"/>
      <c r="D83" s="49"/>
      <c r="E83" s="49"/>
      <c r="F83" s="49"/>
    </row>
    <row r="84" spans="1:7" outlineLevel="1">
      <c r="A84" s="49"/>
      <c r="D84" s="49"/>
      <c r="E84" s="49"/>
      <c r="F84" s="49"/>
    </row>
    <row r="85" spans="1:7" outlineLevel="1">
      <c r="A85" s="49"/>
      <c r="D85" s="49"/>
      <c r="E85" s="49"/>
      <c r="F85" s="49"/>
    </row>
    <row r="86" spans="1:7" outlineLevel="1">
      <c r="A86" s="49"/>
      <c r="D86" s="49"/>
      <c r="E86" s="49"/>
      <c r="F86" s="49"/>
    </row>
    <row r="87" spans="1:7">
      <c r="A87" s="49"/>
      <c r="D87" s="49"/>
      <c r="E87" s="49"/>
      <c r="F87" s="49"/>
    </row>
    <row r="88" spans="1:7">
      <c r="A88" s="49"/>
      <c r="D88" s="49"/>
      <c r="E88" s="49"/>
      <c r="F88" s="49"/>
    </row>
    <row r="89" spans="1:7">
      <c r="A89" s="49"/>
      <c r="D89" s="49"/>
      <c r="E89" s="49"/>
      <c r="F89" s="49"/>
    </row>
    <row r="90" spans="1:7" ht="15.75" customHeight="1" outlineLevel="1">
      <c r="A90" s="49"/>
      <c r="D90" s="49"/>
      <c r="E90" s="49"/>
      <c r="F90" s="49"/>
    </row>
    <row r="91" spans="1:7" ht="24" customHeight="1" outlineLevel="1">
      <c r="A91" s="49"/>
      <c r="D91" s="49"/>
      <c r="E91" s="49"/>
      <c r="F91" s="49"/>
    </row>
    <row r="92" spans="1:7" ht="23.4" customHeight="1" outlineLevel="1">
      <c r="A92" s="49"/>
      <c r="D92" s="49"/>
      <c r="E92" s="49"/>
      <c r="F92" s="49"/>
    </row>
    <row r="93" spans="1:7" outlineLevel="1">
      <c r="A93" s="49"/>
      <c r="D93" s="49"/>
      <c r="E93" s="49"/>
      <c r="F93" s="49"/>
      <c r="G93" s="76"/>
    </row>
    <row r="94" spans="1:7" outlineLevel="1">
      <c r="A94" s="49"/>
      <c r="D94" s="49"/>
      <c r="E94" s="49"/>
      <c r="F94" s="49"/>
    </row>
    <row r="95" spans="1:7" ht="20.25" customHeight="1" outlineLevel="1">
      <c r="A95" s="49"/>
      <c r="D95" s="49"/>
      <c r="E95" s="49"/>
      <c r="F95" s="49"/>
    </row>
    <row r="96" spans="1:7" ht="20.25" customHeight="1" outlineLevel="1">
      <c r="A96" s="49"/>
      <c r="D96" s="49"/>
      <c r="E96" s="49"/>
      <c r="F96" s="49"/>
    </row>
    <row r="97" spans="1:6" outlineLevel="1">
      <c r="A97" s="49"/>
      <c r="D97" s="49"/>
      <c r="E97" s="49"/>
      <c r="F97" s="49"/>
    </row>
    <row r="98" spans="1:6" outlineLevel="1">
      <c r="A98" s="49"/>
      <c r="D98" s="49"/>
      <c r="E98" s="49"/>
      <c r="F98" s="49"/>
    </row>
    <row r="99" spans="1:6">
      <c r="A99" s="49"/>
      <c r="D99" s="49"/>
      <c r="E99" s="49"/>
      <c r="F99" s="49"/>
    </row>
    <row r="100" spans="1:6">
      <c r="A100" s="49"/>
      <c r="D100" s="49"/>
      <c r="E100" s="49"/>
      <c r="F100" s="49"/>
    </row>
    <row r="101" spans="1:6">
      <c r="D101" s="49"/>
      <c r="E101" s="49"/>
      <c r="F101" s="49"/>
    </row>
    <row r="102" spans="1:6">
      <c r="D102" s="49"/>
      <c r="E102" s="49"/>
      <c r="F102" s="49"/>
    </row>
    <row r="103" spans="1:6">
      <c r="D103" s="49"/>
      <c r="E103" s="49"/>
      <c r="F103" s="49"/>
    </row>
    <row r="104" spans="1:6">
      <c r="D104" s="49"/>
      <c r="E104" s="49"/>
      <c r="F104" s="49"/>
    </row>
  </sheetData>
  <sheetProtection algorithmName="SHA-512" hashValue="5btXjkfVs5d3GiFI41PayaeO3Xe54LYISsyd0mkfO9dnEwPDeRvQ7TtLO60Rj2OkZsUQ5FNKS9DZKfDAQ0aFlA==" saltValue="gWMdczNZG0u1Pjv32zke4A==" spinCount="100000" sheet="1" objects="1" scenarios="1" formatCells="0" formatColumns="0" formatRows="0" insertRows="0" insertHyperlinks="0" sort="0" autoFilter="0" pivotTables="0"/>
  <protectedRanges>
    <protectedRange sqref="C75:F75 B17:F20 C13:F13 C62:F62 C80:F80 C49:F49" name="Plage1"/>
  </protectedRanges>
  <mergeCells count="2">
    <mergeCell ref="B2:G6"/>
    <mergeCell ref="B45:F45"/>
  </mergeCells>
  <phoneticPr fontId="25" type="noConversion"/>
  <pageMargins left="0.23622047244094491" right="0.23622047244094491" top="0.74803149606299213" bottom="0.74803149606299213" header="0.31496062992125984" footer="0.31496062992125984"/>
  <pageSetup paperSize="9" scale="51" orientation="portrait" r:id="rId1"/>
  <headerFooter>
    <oddFooter>&amp;L&amp;D&amp;C&amp;G&amp;RPlan financier Crédal - Dossier confidentiel</oddFooter>
  </headerFooter>
  <rowBreaks count="1" manualBreakCount="1">
    <brk id="42" max="4" man="1"/>
  </rowBreaks>
  <colBreaks count="1" manualBreakCount="1">
    <brk id="6" max="1048575" man="1"/>
  </colBreak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F6AD3-AFE6-4DA0-B4F4-A4D63E9175DB}">
  <dimension ref="A1:E64"/>
  <sheetViews>
    <sheetView zoomScale="145" zoomScaleNormal="145" workbookViewId="0">
      <selection activeCell="G13" sqref="G13"/>
    </sheetView>
  </sheetViews>
  <sheetFormatPr baseColWidth="10" defaultRowHeight="14.4"/>
  <cols>
    <col min="1" max="2" width="19.5546875" style="47" customWidth="1"/>
    <col min="3" max="3" width="19.44140625" style="47" customWidth="1"/>
    <col min="4" max="4" width="24.88671875" style="47" customWidth="1"/>
    <col min="5" max="5" width="29.5546875" style="47" customWidth="1"/>
    <col min="6" max="16384" width="11.5546875" style="47"/>
  </cols>
  <sheetData>
    <row r="1" spans="1:5">
      <c r="A1" s="195" t="s">
        <v>357</v>
      </c>
      <c r="B1" s="196"/>
      <c r="C1" s="196"/>
      <c r="D1" s="196"/>
      <c r="E1" s="197"/>
    </row>
    <row r="2" spans="1:5" ht="15" thickBot="1">
      <c r="A2" s="198" t="s">
        <v>358</v>
      </c>
      <c r="B2" s="199"/>
      <c r="C2" s="199"/>
      <c r="D2" s="199"/>
      <c r="E2" s="200"/>
    </row>
    <row r="3" spans="1:5">
      <c r="A3" s="201"/>
    </row>
    <row r="4" spans="1:5">
      <c r="A4" s="202" t="s">
        <v>4</v>
      </c>
      <c r="B4" s="203" t="s">
        <v>500</v>
      </c>
      <c r="C4" s="204" t="s">
        <v>5</v>
      </c>
      <c r="D4" s="205" t="s">
        <v>6</v>
      </c>
      <c r="E4" s="205" t="s">
        <v>363</v>
      </c>
    </row>
    <row r="5" spans="1:5">
      <c r="A5" s="206" t="s">
        <v>15</v>
      </c>
      <c r="B5" s="207" t="s">
        <v>501</v>
      </c>
      <c r="C5" s="208" t="s">
        <v>503</v>
      </c>
      <c r="D5" s="209" t="s">
        <v>365</v>
      </c>
      <c r="E5" s="210">
        <v>6</v>
      </c>
    </row>
    <row r="6" spans="1:5">
      <c r="A6" s="206" t="s">
        <v>16</v>
      </c>
      <c r="B6" s="207" t="s">
        <v>501</v>
      </c>
      <c r="C6" s="208" t="s">
        <v>18</v>
      </c>
      <c r="D6" s="209" t="s">
        <v>364</v>
      </c>
      <c r="E6" s="210">
        <v>1.89</v>
      </c>
    </row>
    <row r="7" spans="1:5">
      <c r="A7" s="206" t="s">
        <v>362</v>
      </c>
      <c r="B7" s="207" t="s">
        <v>501</v>
      </c>
      <c r="C7" s="208" t="s">
        <v>360</v>
      </c>
      <c r="D7" s="209" t="s">
        <v>367</v>
      </c>
      <c r="E7" s="210">
        <v>23.25</v>
      </c>
    </row>
    <row r="8" spans="1:5">
      <c r="A8" s="206" t="s">
        <v>17</v>
      </c>
      <c r="B8" s="207" t="s">
        <v>501</v>
      </c>
      <c r="C8" s="208" t="s">
        <v>360</v>
      </c>
      <c r="D8" s="209" t="s">
        <v>366</v>
      </c>
      <c r="E8" s="210">
        <v>17.649999999999999</v>
      </c>
    </row>
    <row r="9" spans="1:5">
      <c r="A9" s="206" t="s">
        <v>361</v>
      </c>
      <c r="B9" s="207" t="s">
        <v>501</v>
      </c>
      <c r="C9" s="208" t="s">
        <v>360</v>
      </c>
      <c r="D9" s="209" t="s">
        <v>368</v>
      </c>
      <c r="E9" s="210">
        <v>4.32</v>
      </c>
    </row>
    <row r="10" spans="1:5">
      <c r="A10" s="206" t="s">
        <v>359</v>
      </c>
      <c r="B10" s="207" t="s">
        <v>501</v>
      </c>
      <c r="C10" s="208" t="s">
        <v>360</v>
      </c>
      <c r="D10" s="209" t="s">
        <v>367</v>
      </c>
      <c r="E10" s="210">
        <v>6.25</v>
      </c>
    </row>
    <row r="11" spans="1:5">
      <c r="A11" s="211" t="s">
        <v>14</v>
      </c>
      <c r="B11" s="212" t="s">
        <v>502</v>
      </c>
      <c r="C11" s="208" t="str">
        <f t="shared" ref="C11:C64" si="0">IF(B11="Oui","Auto","")</f>
        <v>Auto</v>
      </c>
      <c r="D11" s="213" t="s">
        <v>365</v>
      </c>
      <c r="E11" s="214">
        <v>3.5</v>
      </c>
    </row>
    <row r="12" spans="1:5">
      <c r="A12" s="206"/>
      <c r="B12" s="207" t="s">
        <v>502</v>
      </c>
      <c r="C12" s="208" t="str">
        <f t="shared" si="0"/>
        <v>Auto</v>
      </c>
      <c r="D12" s="209"/>
      <c r="E12" s="210"/>
    </row>
    <row r="13" spans="1:5">
      <c r="A13" s="206"/>
      <c r="B13" s="207" t="s">
        <v>501</v>
      </c>
      <c r="C13" s="208"/>
      <c r="D13" s="209"/>
      <c r="E13" s="210"/>
    </row>
    <row r="14" spans="1:5">
      <c r="A14" s="206"/>
      <c r="B14" s="207" t="s">
        <v>501</v>
      </c>
      <c r="C14" s="208" t="str">
        <f t="shared" si="0"/>
        <v/>
      </c>
      <c r="D14" s="209"/>
      <c r="E14" s="210"/>
    </row>
    <row r="15" spans="1:5">
      <c r="A15" s="206"/>
      <c r="B15" s="207" t="s">
        <v>501</v>
      </c>
      <c r="C15" s="208" t="str">
        <f t="shared" si="0"/>
        <v/>
      </c>
      <c r="D15" s="209"/>
      <c r="E15" s="210"/>
    </row>
    <row r="16" spans="1:5">
      <c r="A16" s="206"/>
      <c r="B16" s="207" t="s">
        <v>501</v>
      </c>
      <c r="C16" s="208" t="str">
        <f t="shared" si="0"/>
        <v/>
      </c>
      <c r="D16" s="209"/>
      <c r="E16" s="210"/>
    </row>
    <row r="17" spans="1:5">
      <c r="A17" s="211"/>
      <c r="B17" s="212" t="s">
        <v>501</v>
      </c>
      <c r="C17" s="208" t="str">
        <f t="shared" si="0"/>
        <v/>
      </c>
      <c r="D17" s="213"/>
      <c r="E17" s="214"/>
    </row>
    <row r="18" spans="1:5">
      <c r="A18" s="206"/>
      <c r="B18" s="207" t="s">
        <v>501</v>
      </c>
      <c r="C18" s="208" t="str">
        <f t="shared" si="0"/>
        <v/>
      </c>
      <c r="D18" s="209"/>
      <c r="E18" s="210"/>
    </row>
    <row r="19" spans="1:5">
      <c r="A19" s="206"/>
      <c r="B19" s="207" t="s">
        <v>501</v>
      </c>
      <c r="C19" s="208" t="str">
        <f t="shared" si="0"/>
        <v/>
      </c>
      <c r="D19" s="209"/>
      <c r="E19" s="210"/>
    </row>
    <row r="20" spans="1:5">
      <c r="A20" s="206"/>
      <c r="B20" s="207" t="s">
        <v>501</v>
      </c>
      <c r="C20" s="208" t="str">
        <f t="shared" si="0"/>
        <v/>
      </c>
      <c r="D20" s="209"/>
      <c r="E20" s="210"/>
    </row>
    <row r="21" spans="1:5">
      <c r="A21" s="206"/>
      <c r="B21" s="207" t="s">
        <v>501</v>
      </c>
      <c r="C21" s="208" t="str">
        <f t="shared" si="0"/>
        <v/>
      </c>
      <c r="D21" s="209"/>
      <c r="E21" s="210"/>
    </row>
    <row r="22" spans="1:5">
      <c r="A22" s="206"/>
      <c r="B22" s="212" t="s">
        <v>501</v>
      </c>
      <c r="C22" s="208" t="str">
        <f t="shared" si="0"/>
        <v/>
      </c>
      <c r="D22" s="209"/>
      <c r="E22" s="210"/>
    </row>
    <row r="23" spans="1:5">
      <c r="A23" s="206"/>
      <c r="B23" s="207" t="s">
        <v>501</v>
      </c>
      <c r="C23" s="208" t="str">
        <f t="shared" si="0"/>
        <v/>
      </c>
      <c r="D23" s="209"/>
      <c r="E23" s="210"/>
    </row>
    <row r="24" spans="1:5">
      <c r="A24" s="206"/>
      <c r="B24" s="207" t="s">
        <v>501</v>
      </c>
      <c r="C24" s="208" t="str">
        <f t="shared" si="0"/>
        <v/>
      </c>
      <c r="D24" s="209"/>
      <c r="E24" s="210"/>
    </row>
    <row r="25" spans="1:5">
      <c r="A25" s="206"/>
      <c r="B25" s="207" t="s">
        <v>501</v>
      </c>
      <c r="C25" s="208" t="str">
        <f t="shared" si="0"/>
        <v/>
      </c>
      <c r="D25" s="209"/>
      <c r="E25" s="210"/>
    </row>
    <row r="26" spans="1:5">
      <c r="A26" s="206"/>
      <c r="B26" s="207" t="s">
        <v>501</v>
      </c>
      <c r="C26" s="208" t="str">
        <f t="shared" si="0"/>
        <v/>
      </c>
      <c r="D26" s="209"/>
      <c r="E26" s="210"/>
    </row>
    <row r="27" spans="1:5">
      <c r="A27" s="206"/>
      <c r="B27" s="212" t="s">
        <v>501</v>
      </c>
      <c r="C27" s="208" t="str">
        <f t="shared" si="0"/>
        <v/>
      </c>
      <c r="D27" s="209"/>
      <c r="E27" s="210"/>
    </row>
    <row r="28" spans="1:5">
      <c r="A28" s="206"/>
      <c r="B28" s="207" t="s">
        <v>501</v>
      </c>
      <c r="C28" s="208" t="str">
        <f t="shared" si="0"/>
        <v/>
      </c>
      <c r="D28" s="209"/>
      <c r="E28" s="210"/>
    </row>
    <row r="29" spans="1:5">
      <c r="A29" s="206"/>
      <c r="B29" s="207" t="s">
        <v>501</v>
      </c>
      <c r="C29" s="208" t="str">
        <f t="shared" si="0"/>
        <v/>
      </c>
      <c r="D29" s="209"/>
      <c r="E29" s="210"/>
    </row>
    <row r="30" spans="1:5">
      <c r="A30" s="206"/>
      <c r="B30" s="207" t="s">
        <v>501</v>
      </c>
      <c r="C30" s="208" t="str">
        <f t="shared" si="0"/>
        <v/>
      </c>
      <c r="D30" s="209"/>
      <c r="E30" s="210"/>
    </row>
    <row r="31" spans="1:5">
      <c r="A31" s="206"/>
      <c r="B31" s="207" t="s">
        <v>501</v>
      </c>
      <c r="C31" s="208" t="str">
        <f t="shared" si="0"/>
        <v/>
      </c>
      <c r="D31" s="209"/>
      <c r="E31" s="210"/>
    </row>
    <row r="32" spans="1:5">
      <c r="A32" s="206"/>
      <c r="B32" s="212" t="s">
        <v>501</v>
      </c>
      <c r="C32" s="208" t="str">
        <f t="shared" si="0"/>
        <v/>
      </c>
      <c r="D32" s="209"/>
      <c r="E32" s="210"/>
    </row>
    <row r="33" spans="1:5">
      <c r="A33" s="206"/>
      <c r="B33" s="207" t="s">
        <v>501</v>
      </c>
      <c r="C33" s="208" t="str">
        <f t="shared" si="0"/>
        <v/>
      </c>
      <c r="D33" s="209"/>
      <c r="E33" s="210"/>
    </row>
    <row r="34" spans="1:5">
      <c r="A34" s="206"/>
      <c r="B34" s="207" t="s">
        <v>501</v>
      </c>
      <c r="C34" s="208" t="str">
        <f t="shared" si="0"/>
        <v/>
      </c>
      <c r="D34" s="209"/>
      <c r="E34" s="210"/>
    </row>
    <row r="35" spans="1:5">
      <c r="A35" s="206"/>
      <c r="B35" s="207" t="s">
        <v>501</v>
      </c>
      <c r="C35" s="208" t="str">
        <f t="shared" si="0"/>
        <v/>
      </c>
      <c r="D35" s="209"/>
      <c r="E35" s="210"/>
    </row>
    <row r="36" spans="1:5">
      <c r="A36" s="206"/>
      <c r="B36" s="207" t="s">
        <v>501</v>
      </c>
      <c r="C36" s="208" t="str">
        <f t="shared" si="0"/>
        <v/>
      </c>
      <c r="D36" s="209"/>
      <c r="E36" s="210"/>
    </row>
    <row r="37" spans="1:5">
      <c r="A37" s="206"/>
      <c r="B37" s="212" t="s">
        <v>501</v>
      </c>
      <c r="C37" s="208" t="str">
        <f t="shared" si="0"/>
        <v/>
      </c>
      <c r="D37" s="209"/>
      <c r="E37" s="210"/>
    </row>
    <row r="38" spans="1:5">
      <c r="A38" s="206"/>
      <c r="B38" s="207" t="s">
        <v>501</v>
      </c>
      <c r="C38" s="208" t="str">
        <f t="shared" si="0"/>
        <v/>
      </c>
      <c r="D38" s="209"/>
      <c r="E38" s="210"/>
    </row>
    <row r="39" spans="1:5">
      <c r="A39" s="206"/>
      <c r="B39" s="207" t="s">
        <v>501</v>
      </c>
      <c r="C39" s="208" t="str">
        <f t="shared" si="0"/>
        <v/>
      </c>
      <c r="D39" s="209"/>
      <c r="E39" s="210"/>
    </row>
    <row r="40" spans="1:5">
      <c r="A40" s="206"/>
      <c r="B40" s="207" t="s">
        <v>501</v>
      </c>
      <c r="C40" s="208" t="str">
        <f t="shared" si="0"/>
        <v/>
      </c>
      <c r="D40" s="209"/>
      <c r="E40" s="210"/>
    </row>
    <row r="41" spans="1:5">
      <c r="A41" s="206"/>
      <c r="B41" s="207" t="s">
        <v>501</v>
      </c>
      <c r="C41" s="208" t="str">
        <f t="shared" si="0"/>
        <v/>
      </c>
      <c r="D41" s="209"/>
      <c r="E41" s="210"/>
    </row>
    <row r="42" spans="1:5">
      <c r="A42" s="206"/>
      <c r="B42" s="212" t="s">
        <v>501</v>
      </c>
      <c r="C42" s="208" t="str">
        <f t="shared" si="0"/>
        <v/>
      </c>
      <c r="D42" s="209"/>
      <c r="E42" s="210"/>
    </row>
    <row r="43" spans="1:5">
      <c r="A43" s="206"/>
      <c r="B43" s="207" t="s">
        <v>501</v>
      </c>
      <c r="C43" s="208" t="str">
        <f t="shared" si="0"/>
        <v/>
      </c>
      <c r="D43" s="209"/>
      <c r="E43" s="210"/>
    </row>
    <row r="44" spans="1:5">
      <c r="A44" s="206"/>
      <c r="B44" s="207" t="s">
        <v>501</v>
      </c>
      <c r="C44" s="208" t="str">
        <f t="shared" si="0"/>
        <v/>
      </c>
      <c r="D44" s="209"/>
      <c r="E44" s="210"/>
    </row>
    <row r="45" spans="1:5">
      <c r="A45" s="206"/>
      <c r="B45" s="207" t="s">
        <v>501</v>
      </c>
      <c r="C45" s="208" t="str">
        <f t="shared" si="0"/>
        <v/>
      </c>
      <c r="D45" s="209"/>
      <c r="E45" s="210"/>
    </row>
    <row r="46" spans="1:5">
      <c r="A46" s="206"/>
      <c r="B46" s="207" t="s">
        <v>501</v>
      </c>
      <c r="C46" s="208" t="str">
        <f t="shared" si="0"/>
        <v/>
      </c>
      <c r="D46" s="209"/>
      <c r="E46" s="210"/>
    </row>
    <row r="47" spans="1:5">
      <c r="A47" s="206"/>
      <c r="B47" s="212" t="s">
        <v>501</v>
      </c>
      <c r="C47" s="208" t="str">
        <f t="shared" si="0"/>
        <v/>
      </c>
      <c r="D47" s="209"/>
      <c r="E47" s="210"/>
    </row>
    <row r="48" spans="1:5">
      <c r="A48" s="206"/>
      <c r="B48" s="207" t="s">
        <v>501</v>
      </c>
      <c r="C48" s="208" t="str">
        <f t="shared" si="0"/>
        <v/>
      </c>
      <c r="D48" s="209"/>
      <c r="E48" s="210"/>
    </row>
    <row r="49" spans="1:5">
      <c r="A49" s="206"/>
      <c r="B49" s="207" t="s">
        <v>501</v>
      </c>
      <c r="C49" s="208" t="str">
        <f t="shared" si="0"/>
        <v/>
      </c>
      <c r="D49" s="209"/>
      <c r="E49" s="210"/>
    </row>
    <row r="50" spans="1:5">
      <c r="A50" s="206"/>
      <c r="B50" s="207" t="s">
        <v>501</v>
      </c>
      <c r="C50" s="208" t="str">
        <f t="shared" si="0"/>
        <v/>
      </c>
      <c r="D50" s="209"/>
      <c r="E50" s="210"/>
    </row>
    <row r="51" spans="1:5">
      <c r="A51" s="206"/>
      <c r="B51" s="207" t="s">
        <v>501</v>
      </c>
      <c r="C51" s="208" t="str">
        <f t="shared" si="0"/>
        <v/>
      </c>
      <c r="D51" s="209"/>
      <c r="E51" s="210"/>
    </row>
    <row r="52" spans="1:5">
      <c r="A52" s="206"/>
      <c r="B52" s="212" t="s">
        <v>501</v>
      </c>
      <c r="C52" s="208" t="str">
        <f t="shared" si="0"/>
        <v/>
      </c>
      <c r="D52" s="209"/>
      <c r="E52" s="210"/>
    </row>
    <row r="53" spans="1:5">
      <c r="A53" s="206"/>
      <c r="B53" s="207" t="s">
        <v>501</v>
      </c>
      <c r="C53" s="208" t="str">
        <f t="shared" si="0"/>
        <v/>
      </c>
      <c r="D53" s="209"/>
      <c r="E53" s="210"/>
    </row>
    <row r="54" spans="1:5">
      <c r="A54" s="206"/>
      <c r="B54" s="207" t="s">
        <v>501</v>
      </c>
      <c r="C54" s="208" t="str">
        <f t="shared" si="0"/>
        <v/>
      </c>
      <c r="D54" s="209"/>
      <c r="E54" s="210"/>
    </row>
    <row r="55" spans="1:5">
      <c r="A55" s="206"/>
      <c r="B55" s="207" t="s">
        <v>501</v>
      </c>
      <c r="C55" s="208" t="str">
        <f t="shared" si="0"/>
        <v/>
      </c>
      <c r="D55" s="209"/>
      <c r="E55" s="210"/>
    </row>
    <row r="56" spans="1:5">
      <c r="A56" s="206"/>
      <c r="B56" s="207" t="s">
        <v>501</v>
      </c>
      <c r="C56" s="208" t="str">
        <f t="shared" si="0"/>
        <v/>
      </c>
      <c r="D56" s="209"/>
      <c r="E56" s="210"/>
    </row>
    <row r="57" spans="1:5">
      <c r="A57" s="206"/>
      <c r="B57" s="212" t="s">
        <v>501</v>
      </c>
      <c r="C57" s="208" t="str">
        <f t="shared" si="0"/>
        <v/>
      </c>
      <c r="D57" s="209"/>
      <c r="E57" s="210"/>
    </row>
    <row r="58" spans="1:5">
      <c r="A58" s="206"/>
      <c r="B58" s="207" t="s">
        <v>501</v>
      </c>
      <c r="C58" s="208" t="str">
        <f t="shared" si="0"/>
        <v/>
      </c>
      <c r="D58" s="209"/>
      <c r="E58" s="210"/>
    </row>
    <row r="59" spans="1:5">
      <c r="A59" s="206"/>
      <c r="B59" s="207" t="s">
        <v>501</v>
      </c>
      <c r="C59" s="208" t="str">
        <f t="shared" si="0"/>
        <v/>
      </c>
      <c r="D59" s="209"/>
      <c r="E59" s="210"/>
    </row>
    <row r="60" spans="1:5">
      <c r="A60" s="206"/>
      <c r="B60" s="207" t="s">
        <v>501</v>
      </c>
      <c r="C60" s="208" t="str">
        <f t="shared" si="0"/>
        <v/>
      </c>
      <c r="D60" s="209"/>
      <c r="E60" s="210"/>
    </row>
    <row r="61" spans="1:5">
      <c r="A61" s="206"/>
      <c r="B61" s="207" t="s">
        <v>501</v>
      </c>
      <c r="C61" s="208" t="str">
        <f t="shared" si="0"/>
        <v/>
      </c>
      <c r="D61" s="209"/>
      <c r="E61" s="210"/>
    </row>
    <row r="62" spans="1:5">
      <c r="A62" s="206"/>
      <c r="B62" s="212" t="s">
        <v>501</v>
      </c>
      <c r="C62" s="208" t="str">
        <f t="shared" si="0"/>
        <v/>
      </c>
      <c r="D62" s="209"/>
      <c r="E62" s="210"/>
    </row>
    <row r="63" spans="1:5">
      <c r="A63" s="206"/>
      <c r="B63" s="207" t="s">
        <v>501</v>
      </c>
      <c r="C63" s="208" t="str">
        <f t="shared" si="0"/>
        <v/>
      </c>
      <c r="D63" s="209"/>
      <c r="E63" s="210"/>
    </row>
    <row r="64" spans="1:5">
      <c r="A64" s="206"/>
      <c r="B64" s="207" t="s">
        <v>501</v>
      </c>
      <c r="C64" s="208" t="str">
        <f t="shared" si="0"/>
        <v/>
      </c>
      <c r="D64" s="209"/>
      <c r="E64" s="210"/>
    </row>
  </sheetData>
  <sheetProtection algorithmName="SHA-512" hashValue="I2sL3hkAeJVYwxK5xMKbQuECPQG5MQ+3sBhAJRqvYKhvMMabgvTljjNn+Mql1cbSC6BJYPJJvc/epCQFbkAaFA==" saltValue="0+l+xViKnJq1apxwB5M7OA==" spinCount="100000" sheet="1" objects="1" scenarios="1" formatCells="0" formatColumns="0" formatRows="0" insertRows="0" insertHyperlinks="0" sort="0" autoFilter="0" pivotTables="0"/>
  <protectedRanges>
    <protectedRange sqref="A5:E5 A9:B11 A12:A30 B12 B16:B17 D9:E30 B21:B22 B26:B27 B31:B32 B36:B37 B41:B42 B46:B47 B51:B52 B56:B57 B61:B62 C6:C64" name="Ingred et consommables"/>
    <protectedRange sqref="A6:B8 B13:B15 D6:E8 B18:B20 B23:B25 B28:B30 B33:B35 B38:B40 B43:B45 B48:B50 B53:B55 B58:B60 B63:B64" name="Ingred et consommables_1"/>
  </protectedRanges>
  <phoneticPr fontId="25" type="noConversion"/>
  <dataValidations count="1">
    <dataValidation type="list" allowBlank="1" showInputMessage="1" showErrorMessage="1" errorTitle="Valeur invalide" error="Veuillez choisir Oui ou Non" sqref="B5:B64" xr:uid="{A17FAE07-A9F8-4B62-B9FE-151752334D58}">
      <formula1>"Oui,Non"</formula1>
    </dataValidation>
  </dataValidation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AB518-254F-4BB9-A85B-23E826A8D0CE}">
  <dimension ref="A1:D64"/>
  <sheetViews>
    <sheetView workbookViewId="0">
      <selection activeCell="A9" sqref="A9"/>
    </sheetView>
  </sheetViews>
  <sheetFormatPr baseColWidth="10" defaultRowHeight="14.4"/>
  <cols>
    <col min="1" max="1" width="19.5546875" style="47" customWidth="1"/>
    <col min="2" max="2" width="19.44140625" style="47" customWidth="1"/>
    <col min="3" max="3" width="24.88671875" style="47" customWidth="1"/>
    <col min="4" max="4" width="29.5546875" style="47" customWidth="1"/>
    <col min="5" max="16384" width="11.5546875" style="47"/>
  </cols>
  <sheetData>
    <row r="1" spans="1:4">
      <c r="A1" s="195" t="s">
        <v>369</v>
      </c>
      <c r="B1" s="196"/>
      <c r="C1" s="196"/>
      <c r="D1" s="197"/>
    </row>
    <row r="2" spans="1:4">
      <c r="A2" s="201"/>
      <c r="D2" s="215"/>
    </row>
    <row r="3" spans="1:4" ht="15" thickBot="1">
      <c r="A3" s="198"/>
      <c r="B3" s="199"/>
      <c r="C3" s="199"/>
      <c r="D3" s="200"/>
    </row>
    <row r="4" spans="1:4">
      <c r="A4" s="202" t="s">
        <v>4</v>
      </c>
      <c r="B4" s="204" t="s">
        <v>5</v>
      </c>
      <c r="C4" s="205" t="s">
        <v>6</v>
      </c>
      <c r="D4" s="205" t="s">
        <v>363</v>
      </c>
    </row>
    <row r="5" spans="1:4">
      <c r="A5" s="206" t="s">
        <v>19</v>
      </c>
      <c r="B5" s="206" t="s">
        <v>20</v>
      </c>
      <c r="C5" s="209" t="s">
        <v>21</v>
      </c>
      <c r="D5" s="210">
        <v>0.154</v>
      </c>
    </row>
    <row r="6" spans="1:4">
      <c r="A6" s="206" t="s">
        <v>38</v>
      </c>
      <c r="B6" s="206" t="s">
        <v>20</v>
      </c>
      <c r="C6" s="209" t="s">
        <v>21</v>
      </c>
      <c r="D6" s="210">
        <v>0.12</v>
      </c>
    </row>
    <row r="7" spans="1:4">
      <c r="A7" s="206" t="s">
        <v>27</v>
      </c>
      <c r="B7" s="211" t="s">
        <v>20</v>
      </c>
      <c r="C7" s="213" t="s">
        <v>28</v>
      </c>
      <c r="D7" s="214">
        <v>27.3</v>
      </c>
    </row>
    <row r="8" spans="1:4">
      <c r="A8" s="211" t="s">
        <v>370</v>
      </c>
      <c r="B8" s="211" t="s">
        <v>20</v>
      </c>
      <c r="C8" s="213" t="s">
        <v>28</v>
      </c>
      <c r="D8" s="214">
        <v>58</v>
      </c>
    </row>
    <row r="9" spans="1:4">
      <c r="A9" s="206"/>
      <c r="B9" s="206"/>
      <c r="C9" s="209"/>
      <c r="D9" s="210"/>
    </row>
    <row r="10" spans="1:4">
      <c r="A10" s="206"/>
      <c r="B10" s="206"/>
      <c r="C10" s="209"/>
      <c r="D10" s="210"/>
    </row>
    <row r="11" spans="1:4">
      <c r="A11" s="211"/>
      <c r="B11" s="211"/>
      <c r="C11" s="213"/>
      <c r="D11" s="214"/>
    </row>
    <row r="12" spans="1:4">
      <c r="A12" s="206"/>
      <c r="B12" s="206"/>
      <c r="C12" s="209"/>
      <c r="D12" s="210"/>
    </row>
    <row r="13" spans="1:4">
      <c r="A13" s="206"/>
      <c r="B13" s="206"/>
      <c r="C13" s="209"/>
      <c r="D13" s="210"/>
    </row>
    <row r="14" spans="1:4">
      <c r="A14" s="206"/>
      <c r="B14" s="206"/>
      <c r="C14" s="209"/>
      <c r="D14" s="210"/>
    </row>
    <row r="15" spans="1:4">
      <c r="A15" s="206"/>
      <c r="B15" s="206"/>
      <c r="C15" s="209"/>
      <c r="D15" s="210"/>
    </row>
    <row r="16" spans="1:4">
      <c r="A16" s="206"/>
      <c r="B16" s="206"/>
      <c r="C16" s="209"/>
      <c r="D16" s="210"/>
    </row>
    <row r="17" spans="1:4">
      <c r="A17" s="206"/>
      <c r="B17" s="206"/>
      <c r="C17" s="209"/>
      <c r="D17" s="210"/>
    </row>
    <row r="18" spans="1:4">
      <c r="A18" s="206"/>
      <c r="B18" s="206"/>
      <c r="C18" s="209"/>
      <c r="D18" s="210"/>
    </row>
    <row r="19" spans="1:4">
      <c r="A19" s="206"/>
      <c r="B19" s="206"/>
      <c r="C19" s="209"/>
      <c r="D19" s="210"/>
    </row>
    <row r="20" spans="1:4">
      <c r="A20" s="206"/>
      <c r="B20" s="206"/>
      <c r="C20" s="209"/>
      <c r="D20" s="210"/>
    </row>
    <row r="21" spans="1:4">
      <c r="A21" s="206"/>
      <c r="B21" s="206"/>
      <c r="C21" s="209"/>
      <c r="D21" s="210"/>
    </row>
    <row r="22" spans="1:4">
      <c r="A22" s="206"/>
      <c r="B22" s="206"/>
      <c r="C22" s="209"/>
      <c r="D22" s="210"/>
    </row>
    <row r="23" spans="1:4">
      <c r="A23" s="206"/>
      <c r="B23" s="206"/>
      <c r="C23" s="209"/>
      <c r="D23" s="210"/>
    </row>
    <row r="24" spans="1:4">
      <c r="A24" s="206"/>
      <c r="B24" s="206"/>
      <c r="C24" s="209"/>
      <c r="D24" s="210"/>
    </row>
    <row r="25" spans="1:4">
      <c r="A25" s="206"/>
      <c r="B25" s="206"/>
      <c r="C25" s="209"/>
      <c r="D25" s="210"/>
    </row>
    <row r="26" spans="1:4">
      <c r="A26" s="206"/>
      <c r="B26" s="206"/>
      <c r="C26" s="209"/>
      <c r="D26" s="210"/>
    </row>
    <row r="27" spans="1:4">
      <c r="A27" s="206"/>
      <c r="B27" s="206"/>
      <c r="C27" s="209"/>
      <c r="D27" s="210"/>
    </row>
    <row r="28" spans="1:4">
      <c r="A28" s="206"/>
      <c r="B28" s="206"/>
      <c r="C28" s="209"/>
      <c r="D28" s="210"/>
    </row>
    <row r="29" spans="1:4">
      <c r="A29" s="206"/>
      <c r="B29" s="206"/>
      <c r="C29" s="209"/>
      <c r="D29" s="210"/>
    </row>
    <row r="30" spans="1:4">
      <c r="A30" s="206"/>
      <c r="B30" s="206"/>
      <c r="C30" s="206"/>
      <c r="D30" s="206"/>
    </row>
    <row r="31" spans="1:4">
      <c r="A31" s="206"/>
      <c r="B31" s="206"/>
      <c r="C31" s="206"/>
      <c r="D31" s="206"/>
    </row>
    <row r="32" spans="1:4">
      <c r="A32" s="206"/>
      <c r="B32" s="206"/>
      <c r="C32" s="206"/>
      <c r="D32" s="206"/>
    </row>
    <row r="33" spans="1:4">
      <c r="A33" s="206"/>
      <c r="B33" s="206"/>
      <c r="C33" s="206"/>
      <c r="D33" s="206"/>
    </row>
    <row r="34" spans="1:4">
      <c r="A34" s="206"/>
      <c r="B34" s="206"/>
      <c r="C34" s="206"/>
      <c r="D34" s="206"/>
    </row>
    <row r="35" spans="1:4">
      <c r="A35" s="206"/>
      <c r="B35" s="206"/>
      <c r="C35" s="206"/>
      <c r="D35" s="206"/>
    </row>
    <row r="36" spans="1:4">
      <c r="A36" s="206"/>
      <c r="B36" s="206"/>
      <c r="C36" s="206"/>
      <c r="D36" s="206"/>
    </row>
    <row r="37" spans="1:4">
      <c r="A37" s="206"/>
      <c r="B37" s="206"/>
      <c r="C37" s="206"/>
      <c r="D37" s="206"/>
    </row>
    <row r="38" spans="1:4">
      <c r="A38" s="206"/>
      <c r="B38" s="206"/>
      <c r="C38" s="206"/>
      <c r="D38" s="206"/>
    </row>
    <row r="39" spans="1:4">
      <c r="A39" s="206"/>
      <c r="B39" s="206"/>
      <c r="C39" s="206"/>
      <c r="D39" s="206"/>
    </row>
    <row r="40" spans="1:4">
      <c r="A40" s="206"/>
      <c r="B40" s="206"/>
      <c r="C40" s="206"/>
      <c r="D40" s="206"/>
    </row>
    <row r="41" spans="1:4">
      <c r="A41" s="206"/>
      <c r="B41" s="206"/>
      <c r="C41" s="206"/>
      <c r="D41" s="206"/>
    </row>
    <row r="42" spans="1:4">
      <c r="A42" s="206"/>
      <c r="B42" s="206"/>
      <c r="C42" s="206"/>
      <c r="D42" s="206"/>
    </row>
    <row r="43" spans="1:4">
      <c r="A43" s="206"/>
      <c r="B43" s="206"/>
      <c r="C43" s="206"/>
      <c r="D43" s="206"/>
    </row>
    <row r="44" spans="1:4">
      <c r="A44" s="206"/>
      <c r="B44" s="206"/>
      <c r="C44" s="206"/>
      <c r="D44" s="206"/>
    </row>
    <row r="45" spans="1:4">
      <c r="A45" s="206"/>
      <c r="B45" s="206"/>
      <c r="C45" s="206"/>
      <c r="D45" s="206"/>
    </row>
    <row r="46" spans="1:4">
      <c r="A46" s="206"/>
      <c r="B46" s="206"/>
      <c r="C46" s="206"/>
      <c r="D46" s="206"/>
    </row>
    <row r="47" spans="1:4">
      <c r="A47" s="206"/>
      <c r="B47" s="206"/>
      <c r="C47" s="206"/>
      <c r="D47" s="206"/>
    </row>
    <row r="48" spans="1:4">
      <c r="A48" s="206"/>
      <c r="B48" s="206"/>
      <c r="C48" s="206"/>
      <c r="D48" s="206"/>
    </row>
    <row r="49" spans="1:4">
      <c r="A49" s="206"/>
      <c r="B49" s="206"/>
      <c r="C49" s="206"/>
      <c r="D49" s="206"/>
    </row>
    <row r="50" spans="1:4">
      <c r="A50" s="206"/>
      <c r="B50" s="206"/>
      <c r="C50" s="206"/>
      <c r="D50" s="206"/>
    </row>
    <row r="51" spans="1:4">
      <c r="A51" s="206"/>
      <c r="B51" s="206"/>
      <c r="C51" s="206"/>
      <c r="D51" s="206"/>
    </row>
    <row r="52" spans="1:4">
      <c r="A52" s="206"/>
      <c r="B52" s="206"/>
      <c r="C52" s="206"/>
      <c r="D52" s="206"/>
    </row>
    <row r="53" spans="1:4">
      <c r="A53" s="206"/>
      <c r="B53" s="206"/>
      <c r="C53" s="206"/>
      <c r="D53" s="206"/>
    </row>
    <row r="54" spans="1:4">
      <c r="A54" s="206"/>
      <c r="B54" s="206"/>
      <c r="C54" s="206"/>
      <c r="D54" s="206"/>
    </row>
    <row r="55" spans="1:4">
      <c r="A55" s="206"/>
      <c r="B55" s="206"/>
      <c r="C55" s="206"/>
      <c r="D55" s="206"/>
    </row>
    <row r="56" spans="1:4">
      <c r="A56" s="206"/>
      <c r="B56" s="206"/>
      <c r="C56" s="206"/>
      <c r="D56" s="206"/>
    </row>
    <row r="57" spans="1:4">
      <c r="A57" s="206"/>
      <c r="B57" s="206"/>
      <c r="C57" s="206"/>
      <c r="D57" s="206"/>
    </row>
    <row r="58" spans="1:4">
      <c r="A58" s="206"/>
      <c r="B58" s="206"/>
      <c r="C58" s="206"/>
      <c r="D58" s="206"/>
    </row>
    <row r="59" spans="1:4">
      <c r="A59" s="206"/>
      <c r="B59" s="206"/>
      <c r="C59" s="206"/>
      <c r="D59" s="206"/>
    </row>
    <row r="60" spans="1:4">
      <c r="A60" s="206"/>
      <c r="B60" s="206"/>
      <c r="C60" s="206"/>
      <c r="D60" s="206"/>
    </row>
    <row r="61" spans="1:4">
      <c r="A61" s="206"/>
      <c r="B61" s="206"/>
      <c r="C61" s="206"/>
      <c r="D61" s="206"/>
    </row>
    <row r="62" spans="1:4">
      <c r="A62" s="206"/>
      <c r="B62" s="206"/>
      <c r="C62" s="206"/>
      <c r="D62" s="206"/>
    </row>
    <row r="63" spans="1:4">
      <c r="A63" s="206"/>
      <c r="B63" s="206"/>
      <c r="C63" s="206"/>
      <c r="D63" s="206"/>
    </row>
    <row r="64" spans="1:4">
      <c r="A64" s="206"/>
      <c r="B64" s="206"/>
      <c r="C64" s="206"/>
      <c r="D64" s="206"/>
    </row>
  </sheetData>
  <sheetProtection algorithmName="SHA-512" hashValue="1C0bX251q9y0zLOP2ajkh+6f6r9SnUk+hkcHbqVvJSALwBOzGjCW846Lg+JQazE28ye9FYHO7vEldXnfbUuIxQ==" saltValue="LS5ApvxjQn8SPmfqowucvg==" spinCount="100000" sheet="1" objects="1" scenarios="1" formatCells="0" formatColumns="0" formatRows="0" insertRows="0" insertHyperlinks="0" sort="0" autoFilter="0" pivotTables="0"/>
  <protectedRanges>
    <protectedRange sqref="A9:D30" name="Ingred et consommables"/>
    <protectedRange sqref="A8:D8" name="Ingred et consommables_1"/>
    <protectedRange sqref="A5:D7" name="Ingred et consommables_2"/>
  </protectedRange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E797D-007D-4188-AE94-FB7E54FCF7A7}">
  <dimension ref="A1:T97"/>
  <sheetViews>
    <sheetView topLeftCell="A61" workbookViewId="0">
      <selection activeCell="E8" sqref="E8"/>
    </sheetView>
  </sheetViews>
  <sheetFormatPr baseColWidth="10" defaultRowHeight="14.4"/>
  <cols>
    <col min="1" max="1" width="53.5546875" style="47" bestFit="1" customWidth="1"/>
    <col min="2" max="2" width="23.21875" style="47" bestFit="1" customWidth="1"/>
    <col min="3" max="5" width="10.77734375" style="47" bestFit="1" customWidth="1"/>
    <col min="6" max="6" width="11.5546875" style="47"/>
    <col min="7" max="7" width="23.77734375" style="47" customWidth="1"/>
    <col min="8" max="9" width="11.5546875" style="47"/>
    <col min="10" max="10" width="25.44140625" style="47" customWidth="1"/>
    <col min="11" max="16384" width="11.5546875" style="47"/>
  </cols>
  <sheetData>
    <row r="1" spans="1:20" ht="28.2" thickBot="1">
      <c r="A1" s="796" t="s">
        <v>224</v>
      </c>
      <c r="B1" s="797"/>
      <c r="C1" s="797"/>
      <c r="D1" s="798"/>
      <c r="E1" s="799"/>
      <c r="F1" s="467"/>
      <c r="G1" s="467"/>
      <c r="H1" s="463"/>
      <c r="I1" s="463"/>
      <c r="J1" s="463"/>
      <c r="K1" s="463"/>
      <c r="L1" s="463"/>
      <c r="M1" s="463"/>
      <c r="N1" s="463"/>
      <c r="O1" s="463"/>
      <c r="P1" s="463"/>
      <c r="Q1" s="463"/>
      <c r="R1" s="463"/>
      <c r="S1" s="463"/>
      <c r="T1" s="463"/>
    </row>
    <row r="2" spans="1:20" ht="15" thickBot="1">
      <c r="A2" s="293"/>
      <c r="B2" s="305" t="s">
        <v>194</v>
      </c>
      <c r="C2" s="305" t="s">
        <v>195</v>
      </c>
      <c r="D2" s="305" t="s">
        <v>196</v>
      </c>
      <c r="E2" s="305" t="s">
        <v>324</v>
      </c>
      <c r="F2" s="463"/>
      <c r="G2" s="463"/>
      <c r="H2" s="463"/>
      <c r="I2" s="463"/>
      <c r="J2" s="463"/>
      <c r="K2" s="463"/>
      <c r="L2" s="463"/>
      <c r="M2" s="463"/>
      <c r="N2" s="463"/>
      <c r="O2" s="463"/>
      <c r="P2" s="463"/>
      <c r="Q2" s="463"/>
      <c r="R2" s="463"/>
      <c r="S2" s="463"/>
      <c r="T2" s="463"/>
    </row>
    <row r="3" spans="1:20" ht="15" thickBot="1">
      <c r="A3" s="800" t="s">
        <v>213</v>
      </c>
      <c r="B3" s="861">
        <f ca="1">'11. Résultats'!C48</f>
        <v>45000</v>
      </c>
      <c r="C3" s="861">
        <f ca="1">'11. Résultats'!D48</f>
        <v>85000</v>
      </c>
      <c r="D3" s="861">
        <f ca="1">'11. Résultats'!E48</f>
        <v>85000</v>
      </c>
      <c r="E3" s="861">
        <f ca="1">'11. Résultats'!F48</f>
        <v>85000</v>
      </c>
      <c r="F3" s="49"/>
      <c r="G3" s="49"/>
      <c r="H3" s="49"/>
      <c r="I3" s="49"/>
      <c r="J3" s="49"/>
      <c r="K3" s="49"/>
      <c r="L3" s="49"/>
      <c r="M3" s="49"/>
      <c r="N3" s="49"/>
      <c r="O3" s="49"/>
      <c r="P3" s="49"/>
      <c r="Q3" s="49"/>
      <c r="R3" s="49"/>
      <c r="S3" s="49"/>
      <c r="T3" s="49"/>
    </row>
    <row r="4" spans="1:20">
      <c r="A4" s="306" t="str">
        <f>CONCATENATE("Taux de ",G53*100,"% de ",H53,"€ à ",I53,"€")</f>
        <v>Taux de 20% de 0€ à 100000€</v>
      </c>
      <c r="B4" s="862">
        <f ca="1">IF(B3&gt;$I$53, $I$53*$G$53,B3*$G$53)</f>
        <v>9000</v>
      </c>
      <c r="C4" s="862">
        <f ca="1">IF(C3&gt;$I$53, $I$53*$G$53,C3*$G$53)</f>
        <v>17000</v>
      </c>
      <c r="D4" s="862">
        <f ca="1">IF(D3&gt;$I$53, $I$53*$G$53,D3*$G$53)</f>
        <v>17000</v>
      </c>
      <c r="E4" s="862">
        <f ca="1">IF(E3&gt;$I$53, $I$53*$G$53,E3*$G$53)</f>
        <v>17000</v>
      </c>
      <c r="F4" s="49"/>
      <c r="G4" s="49"/>
      <c r="H4" s="49"/>
      <c r="I4" s="49"/>
      <c r="J4" s="49"/>
      <c r="K4" s="49"/>
      <c r="L4" s="49"/>
      <c r="M4" s="49"/>
      <c r="N4" s="49"/>
      <c r="O4" s="49"/>
      <c r="P4" s="49"/>
      <c r="Q4" s="49"/>
      <c r="R4" s="49"/>
      <c r="S4" s="49"/>
      <c r="T4" s="49"/>
    </row>
    <row r="5" spans="1:20" ht="15" thickBot="1">
      <c r="A5" s="306" t="str">
        <f>CONCATENATE("Taux de ",G54*100,"% à partir de ",H54,"€")</f>
        <v>Taux de 25% à partir de 100000€</v>
      </c>
      <c r="B5" s="863">
        <f ca="1">IF(B3&gt;$H$54,(B3-$H$54)*$G$54,0)</f>
        <v>0</v>
      </c>
      <c r="C5" s="864">
        <f ca="1">IF(C3&gt;$H$54,(C3-$H$54)*$G$54,0)</f>
        <v>0</v>
      </c>
      <c r="D5" s="865">
        <f ca="1">IF(D3&gt;$H$54,(D3-$H$54)*$G$54,0)</f>
        <v>0</v>
      </c>
      <c r="E5" s="865">
        <f ca="1">IF(E3&gt;$H$54,(E3-$H$54)*$G$54,0)</f>
        <v>0</v>
      </c>
      <c r="F5" s="49"/>
      <c r="G5" s="49"/>
      <c r="H5" s="49"/>
      <c r="I5" s="49"/>
      <c r="J5" s="49"/>
      <c r="K5" s="49"/>
      <c r="L5" s="49"/>
      <c r="M5" s="49"/>
      <c r="N5" s="49"/>
      <c r="O5" s="49"/>
      <c r="P5" s="49"/>
      <c r="Q5" s="49"/>
      <c r="R5" s="49"/>
      <c r="S5" s="49"/>
      <c r="T5" s="49"/>
    </row>
    <row r="6" spans="1:20" ht="15" thickBot="1">
      <c r="A6" s="800" t="s">
        <v>228</v>
      </c>
      <c r="B6" s="866">
        <f ca="1">IF(SUM(B4:B5)&gt;0,SUM(B4:B5),0)</f>
        <v>9000</v>
      </c>
      <c r="C6" s="867">
        <f ca="1">IF(SUM(C4:C5)&gt;0,SUM(C4:C5),0)</f>
        <v>17000</v>
      </c>
      <c r="D6" s="866">
        <f ca="1">IF(SUM(D4:D5)&gt;0,SUM(D4:D5),0)</f>
        <v>17000</v>
      </c>
      <c r="E6" s="866">
        <f ca="1">IF(SUM(E4:E5)&gt;0,SUM(E4:E5),0)</f>
        <v>17000</v>
      </c>
      <c r="F6" s="283"/>
      <c r="G6" s="801" t="s">
        <v>197</v>
      </c>
      <c r="H6" s="802"/>
      <c r="I6" s="802"/>
      <c r="J6" s="803"/>
      <c r="K6" s="49"/>
      <c r="L6" s="49"/>
      <c r="M6" s="284"/>
      <c r="N6" s="804">
        <v>2025</v>
      </c>
      <c r="O6" s="284"/>
      <c r="P6" s="49"/>
      <c r="Q6" s="49"/>
      <c r="R6" s="49"/>
      <c r="S6" s="49"/>
      <c r="T6" s="49"/>
    </row>
    <row r="7" spans="1:20" ht="15" thickBot="1">
      <c r="A7" s="310"/>
      <c r="B7" s="866"/>
      <c r="C7" s="867"/>
      <c r="D7" s="866"/>
      <c r="E7" s="866"/>
      <c r="F7" s="49"/>
      <c r="G7" s="49"/>
      <c r="H7" s="49"/>
      <c r="I7" s="49"/>
      <c r="J7" s="49"/>
      <c r="K7" s="49"/>
      <c r="L7" s="49"/>
      <c r="M7" s="284"/>
      <c r="N7" s="284"/>
      <c r="O7" s="284"/>
      <c r="P7" s="49"/>
      <c r="Q7" s="49"/>
      <c r="R7" s="49"/>
      <c r="S7" s="49"/>
      <c r="T7" s="49"/>
    </row>
    <row r="8" spans="1:20" ht="15" thickBot="1">
      <c r="A8" s="805" t="s">
        <v>229</v>
      </c>
      <c r="B8" s="868">
        <f ca="1">B6+B7</f>
        <v>9000</v>
      </c>
      <c r="C8" s="869">
        <f ca="1">C6+C7</f>
        <v>17000</v>
      </c>
      <c r="D8" s="868">
        <f ca="1">D6+D7</f>
        <v>17000</v>
      </c>
      <c r="E8" s="868">
        <f ca="1">E6+E7</f>
        <v>17000</v>
      </c>
      <c r="F8" s="285"/>
      <c r="G8" s="806" t="s">
        <v>200</v>
      </c>
      <c r="H8" s="807" t="s">
        <v>201</v>
      </c>
      <c r="I8" s="808"/>
      <c r="J8" s="809" t="s">
        <v>202</v>
      </c>
      <c r="K8" s="49"/>
      <c r="L8" s="49"/>
      <c r="M8" s="284"/>
      <c r="N8" s="809" t="s">
        <v>203</v>
      </c>
      <c r="O8" s="49"/>
      <c r="P8" s="49"/>
      <c r="Q8" s="49"/>
      <c r="R8" s="49"/>
      <c r="S8" s="49"/>
      <c r="T8" s="49"/>
    </row>
    <row r="9" spans="1:20">
      <c r="A9" s="49"/>
      <c r="B9" s="49"/>
      <c r="C9" s="49"/>
      <c r="D9" s="49"/>
      <c r="E9" s="49"/>
      <c r="F9" s="76"/>
      <c r="G9" s="810">
        <v>0</v>
      </c>
      <c r="H9" s="870">
        <v>0</v>
      </c>
      <c r="I9" s="811">
        <v>1881.76</v>
      </c>
      <c r="J9" s="871" t="s">
        <v>205</v>
      </c>
      <c r="K9" s="49"/>
      <c r="L9" s="49"/>
      <c r="M9" s="284"/>
      <c r="N9" s="286" t="s">
        <v>206</v>
      </c>
      <c r="O9" s="284"/>
      <c r="P9" s="49"/>
      <c r="Q9" s="49"/>
      <c r="R9" s="49"/>
      <c r="S9" s="49"/>
      <c r="T9" s="49"/>
    </row>
    <row r="10" spans="1:20">
      <c r="A10" s="812" t="s">
        <v>717</v>
      </c>
      <c r="B10" s="812"/>
      <c r="C10" s="812"/>
      <c r="D10" s="812"/>
      <c r="E10" s="812"/>
      <c r="F10" s="49"/>
      <c r="G10" s="813">
        <v>0.20499999999999999</v>
      </c>
      <c r="H10" s="872">
        <v>0</v>
      </c>
      <c r="I10" s="814">
        <v>17008.88</v>
      </c>
      <c r="J10" s="873">
        <f>G10*(I10-H10)</f>
        <v>3486.8204000000001</v>
      </c>
      <c r="K10" s="49"/>
      <c r="L10" s="49"/>
      <c r="M10" s="284"/>
      <c r="N10" s="815">
        <f>J10/4</f>
        <v>871.70510000000002</v>
      </c>
      <c r="O10" s="815">
        <f>I10/12</f>
        <v>1417.4066666666668</v>
      </c>
      <c r="P10" s="49"/>
      <c r="Q10" s="49"/>
      <c r="R10" s="49"/>
      <c r="S10" s="49"/>
      <c r="T10" s="49"/>
    </row>
    <row r="11" spans="1:20">
      <c r="A11" s="816" t="s">
        <v>777</v>
      </c>
      <c r="B11" s="816"/>
      <c r="C11" s="816"/>
      <c r="D11" s="816"/>
      <c r="E11" s="816"/>
      <c r="F11" s="287"/>
      <c r="G11" s="813">
        <v>0.20499999999999999</v>
      </c>
      <c r="H11" s="872">
        <f>+H10</f>
        <v>0</v>
      </c>
      <c r="I11" s="814">
        <v>73447.520000000004</v>
      </c>
      <c r="J11" s="873">
        <f>G11*(I11-H11)</f>
        <v>15056.741599999999</v>
      </c>
      <c r="K11" s="284"/>
      <c r="L11" s="284"/>
      <c r="M11" s="284"/>
      <c r="N11" s="49"/>
      <c r="O11" s="49"/>
      <c r="P11" s="49"/>
      <c r="Q11" s="49"/>
      <c r="R11" s="49"/>
      <c r="S11" s="49"/>
      <c r="T11" s="49"/>
    </row>
    <row r="12" spans="1:20" ht="15" thickBot="1">
      <c r="A12" s="817"/>
      <c r="B12" s="817"/>
      <c r="C12" s="817"/>
      <c r="D12" s="817"/>
      <c r="E12" s="817"/>
      <c r="F12" s="49"/>
      <c r="G12" s="818">
        <v>0.1416</v>
      </c>
      <c r="H12" s="872">
        <f>+I11</f>
        <v>73447.520000000004</v>
      </c>
      <c r="I12" s="814">
        <v>108238.39999999999</v>
      </c>
      <c r="J12" s="873">
        <f>G12*(I12-H12)</f>
        <v>4926.3886079999984</v>
      </c>
      <c r="K12" s="284"/>
      <c r="L12" s="284"/>
      <c r="M12" s="284"/>
      <c r="N12" s="49"/>
      <c r="O12" s="49"/>
      <c r="P12" s="49"/>
      <c r="Q12" s="49"/>
      <c r="R12" s="49"/>
      <c r="S12" s="49"/>
      <c r="T12" s="49"/>
    </row>
    <row r="13" spans="1:20" ht="15" thickBot="1">
      <c r="A13" s="874" t="s">
        <v>718</v>
      </c>
      <c r="B13" s="875">
        <f>'4. CHARGES FIXES'!H$16</f>
        <v>2024</v>
      </c>
      <c r="C13" s="875">
        <f>'4. CHARGES FIXES'!I$16</f>
        <v>2025</v>
      </c>
      <c r="D13" s="875">
        <f>'4. CHARGES FIXES'!J$16</f>
        <v>2026</v>
      </c>
      <c r="E13" s="876">
        <f>'4. CHARGES FIXES'!K$16</f>
        <v>2027</v>
      </c>
      <c r="F13" s="49"/>
      <c r="G13" s="819">
        <v>0</v>
      </c>
      <c r="H13" s="877">
        <f>+I12</f>
        <v>108238.39999999999</v>
      </c>
      <c r="I13" s="820"/>
      <c r="J13" s="878"/>
      <c r="K13" s="284"/>
      <c r="L13" s="284"/>
      <c r="M13" s="284"/>
      <c r="N13" s="49"/>
      <c r="O13" s="49"/>
      <c r="P13" s="49"/>
      <c r="Q13" s="49"/>
      <c r="R13" s="49"/>
      <c r="S13" s="49"/>
      <c r="T13" s="49"/>
    </row>
    <row r="14" spans="1:20" ht="15" thickBot="1">
      <c r="A14" s="879" t="s">
        <v>719</v>
      </c>
      <c r="B14" s="880">
        <f ca="1">'11. Résultats'!C48</f>
        <v>45000</v>
      </c>
      <c r="C14" s="880">
        <f ca="1">'11. Résultats'!D48</f>
        <v>85000</v>
      </c>
      <c r="D14" s="880">
        <f ca="1">'11. Résultats'!E48</f>
        <v>85000</v>
      </c>
      <c r="E14" s="881">
        <f ca="1">'11. Résultats'!F48</f>
        <v>85000</v>
      </c>
      <c r="F14" s="49"/>
      <c r="G14" s="288"/>
      <c r="H14" s="289"/>
      <c r="I14" s="49"/>
      <c r="J14" s="49"/>
      <c r="K14" s="290"/>
      <c r="L14" s="284"/>
      <c r="M14" s="284"/>
      <c r="N14" s="49"/>
      <c r="O14" s="49"/>
      <c r="P14" s="49"/>
      <c r="Q14" s="49"/>
      <c r="R14" s="49"/>
      <c r="S14" s="49"/>
      <c r="T14" s="49"/>
    </row>
    <row r="15" spans="1:20" ht="15" thickBot="1">
      <c r="A15" s="879" t="s">
        <v>720</v>
      </c>
      <c r="B15" s="882">
        <f ca="1">'11. Résultats'!C49</f>
        <v>-9000</v>
      </c>
      <c r="C15" s="883">
        <f ca="1">'11. Résultats'!D49</f>
        <v>-17000</v>
      </c>
      <c r="D15" s="884">
        <f ca="1">'11. Résultats'!E49</f>
        <v>-17000</v>
      </c>
      <c r="E15" s="885">
        <f ca="1">'11. Résultats'!F49</f>
        <v>-17000</v>
      </c>
      <c r="F15" s="287"/>
      <c r="G15" s="886" t="str">
        <f>CONCATENATE("cotis. min = ",I10,"€ x ",G10*100,"% augmenté des frais de gestion")</f>
        <v>cotis. min = 17008.88€ x 20.5% augmenté des frais de gestion</v>
      </c>
      <c r="H15" s="887"/>
      <c r="I15" s="888">
        <f>J10*(1+J15)</f>
        <v>3628.0366261999998</v>
      </c>
      <c r="J15" s="417">
        <v>4.0500000000000001E-2</v>
      </c>
      <c r="K15" s="284"/>
      <c r="L15" s="284"/>
      <c r="M15" s="284"/>
      <c r="N15" s="49"/>
      <c r="O15" s="49"/>
      <c r="P15" s="49"/>
      <c r="Q15" s="49"/>
      <c r="R15" s="49"/>
      <c r="S15" s="49"/>
      <c r="T15" s="49"/>
    </row>
    <row r="16" spans="1:20" ht="15" thickBot="1">
      <c r="A16" s="821" t="s">
        <v>721</v>
      </c>
      <c r="B16" s="822">
        <f ca="1">B14+B15</f>
        <v>36000</v>
      </c>
      <c r="C16" s="823">
        <f ca="1">C14+C15</f>
        <v>68000</v>
      </c>
      <c r="D16" s="822">
        <f ca="1">D14+D15</f>
        <v>68000</v>
      </c>
      <c r="E16" s="824">
        <f ca="1">E14+E15</f>
        <v>68000</v>
      </c>
      <c r="F16" s="49"/>
      <c r="G16" s="889"/>
      <c r="H16" s="890"/>
      <c r="I16" s="891"/>
      <c r="J16" s="418"/>
      <c r="K16" s="284"/>
      <c r="L16" s="284"/>
      <c r="M16" s="284"/>
      <c r="N16" s="49"/>
      <c r="O16" s="49"/>
      <c r="P16" s="49"/>
      <c r="Q16" s="49"/>
      <c r="R16" s="49"/>
      <c r="S16" s="49"/>
      <c r="T16" s="49"/>
    </row>
    <row r="17" spans="1:20" ht="15" thickBot="1">
      <c r="A17" s="825"/>
      <c r="B17" s="866"/>
      <c r="C17" s="867"/>
      <c r="D17" s="866"/>
      <c r="E17" s="892"/>
      <c r="F17" s="49"/>
      <c r="G17" s="889"/>
      <c r="H17" s="890"/>
      <c r="I17" s="891"/>
      <c r="J17" s="418"/>
      <c r="K17" s="284"/>
      <c r="L17" s="284"/>
      <c r="M17" s="284"/>
      <c r="N17" s="49"/>
      <c r="O17" s="49"/>
      <c r="P17" s="49"/>
      <c r="Q17" s="49"/>
      <c r="R17" s="49"/>
      <c r="S17" s="49"/>
      <c r="T17" s="49"/>
    </row>
    <row r="18" spans="1:20" ht="15" thickBot="1">
      <c r="A18" s="879" t="s">
        <v>722</v>
      </c>
      <c r="B18" s="893">
        <f>IF($B$21="Néant / non concerné",0,'10. BESOIN RH mensuel'!$D$4)</f>
        <v>1</v>
      </c>
      <c r="C18" s="894">
        <f>IF($B$21="Néant / non concerné",0,'10. BESOIN RH mensuel'!$D$4)</f>
        <v>1</v>
      </c>
      <c r="D18" s="893">
        <f>IF($B$21="Néant / non concerné",0,'10. BESOIN RH mensuel'!$D$4)</f>
        <v>1</v>
      </c>
      <c r="E18" s="895">
        <f>IF($B$21="Néant / non concerné",0,'10. BESOIN RH mensuel'!$D$4)</f>
        <v>1</v>
      </c>
      <c r="F18" s="49"/>
      <c r="G18" s="889" t="str">
        <f>CONCATENATE("Plafond si revenus supérieurs à ",I12,"€")</f>
        <v>Plafond si revenus supérieurs à 108238.4€</v>
      </c>
      <c r="H18" s="890"/>
      <c r="I18" s="891">
        <f>(J11+J12)*(1+J18)</f>
        <v>20792.446981423996</v>
      </c>
      <c r="J18" s="418">
        <v>4.0500000000000001E-2</v>
      </c>
      <c r="K18" s="284"/>
      <c r="L18" s="284"/>
      <c r="M18" s="284"/>
      <c r="N18" s="49"/>
      <c r="O18" s="49"/>
      <c r="P18" s="49"/>
      <c r="Q18" s="49"/>
      <c r="R18" s="49"/>
      <c r="S18" s="49"/>
      <c r="T18" s="49"/>
    </row>
    <row r="19" spans="1:20" ht="15" thickBot="1">
      <c r="A19" s="879" t="s">
        <v>723</v>
      </c>
      <c r="B19" s="896">
        <f>IF($B$22="Néant / non concerné",0,'10. BESOIN RH mensuel'!$D$5)</f>
        <v>0.05</v>
      </c>
      <c r="C19" s="896">
        <f>IF($B$22="Néant / non concerné",0,'10. BESOIN RH mensuel'!$D$5)</f>
        <v>0.05</v>
      </c>
      <c r="D19" s="896">
        <f>IF($B$22="Néant / non concerné",0,'10. BESOIN RH mensuel'!$D$5)</f>
        <v>0.05</v>
      </c>
      <c r="E19" s="897">
        <f>IF($B$22="Néant / non concerné",0,'10. BESOIN RH mensuel'!$D$5)</f>
        <v>0.05</v>
      </c>
      <c r="F19" s="291"/>
      <c r="G19" s="898"/>
      <c r="H19" s="899"/>
      <c r="I19" s="900"/>
      <c r="J19" s="421"/>
      <c r="K19" s="49"/>
      <c r="L19" s="49"/>
      <c r="M19" s="49"/>
      <c r="N19" s="49"/>
      <c r="O19" s="49"/>
      <c r="P19" s="49"/>
      <c r="Q19" s="49"/>
      <c r="R19" s="49"/>
      <c r="S19" s="49"/>
      <c r="T19" s="49"/>
    </row>
    <row r="20" spans="1:20" ht="15" thickBot="1">
      <c r="A20" s="821" t="s">
        <v>724</v>
      </c>
      <c r="B20" s="826">
        <f>B18+B19</f>
        <v>1.05</v>
      </c>
      <c r="C20" s="826">
        <f>C18+C19</f>
        <v>1.05</v>
      </c>
      <c r="D20" s="826">
        <f>D18+D19</f>
        <v>1.05</v>
      </c>
      <c r="E20" s="827">
        <f>E18+E19</f>
        <v>1.05</v>
      </c>
      <c r="F20" s="292"/>
      <c r="G20" s="49"/>
      <c r="H20" s="49"/>
      <c r="I20" s="49"/>
      <c r="J20" s="49"/>
      <c r="K20" s="49"/>
      <c r="L20" s="49"/>
      <c r="M20" s="49"/>
      <c r="N20" s="49"/>
      <c r="O20" s="49"/>
      <c r="P20" s="49"/>
      <c r="Q20" s="49"/>
      <c r="R20" s="49"/>
      <c r="S20" s="49"/>
      <c r="T20" s="49"/>
    </row>
    <row r="21" spans="1:20" ht="15" thickBot="1">
      <c r="A21" s="879" t="s">
        <v>725</v>
      </c>
      <c r="B21" s="882" t="str">
        <f>'10. BESOIN RH mensuel'!$R$4</f>
        <v>Indépendant à titre principal</v>
      </c>
      <c r="C21" s="883"/>
      <c r="D21" s="884"/>
      <c r="E21" s="885"/>
      <c r="F21" s="294"/>
      <c r="G21" s="828" t="s">
        <v>211</v>
      </c>
      <c r="H21" s="829" t="s">
        <v>212</v>
      </c>
      <c r="I21" s="808"/>
      <c r="J21" s="49"/>
      <c r="K21" s="49"/>
      <c r="L21" s="49"/>
      <c r="M21" s="49"/>
      <c r="N21" s="49"/>
      <c r="O21" s="49"/>
      <c r="P21" s="49"/>
      <c r="Q21" s="49"/>
      <c r="R21" s="49"/>
      <c r="S21" s="49"/>
      <c r="T21" s="49"/>
    </row>
    <row r="22" spans="1:20" ht="15" thickBot="1">
      <c r="A22" s="879" t="s">
        <v>726</v>
      </c>
      <c r="B22" s="893" t="str">
        <f>'10. BESOIN RH mensuel'!$R$5</f>
        <v>Conjoint aidant (maxi-statut)</v>
      </c>
      <c r="C22" s="894"/>
      <c r="D22" s="893"/>
      <c r="E22" s="895"/>
      <c r="F22" s="292"/>
      <c r="G22" s="901">
        <v>0.25</v>
      </c>
      <c r="H22" s="902">
        <v>0</v>
      </c>
      <c r="I22" s="903">
        <v>15820</v>
      </c>
      <c r="J22" s="49"/>
      <c r="K22" s="49"/>
      <c r="L22" s="49"/>
      <c r="M22" s="49"/>
      <c r="N22" s="49"/>
      <c r="O22" s="49"/>
      <c r="P22" s="49"/>
      <c r="Q22" s="49"/>
      <c r="R22" s="49"/>
      <c r="S22" s="49"/>
      <c r="T22" s="49"/>
    </row>
    <row r="23" spans="1:20" ht="15" thickBot="1">
      <c r="A23" s="879" t="s">
        <v>727</v>
      </c>
      <c r="B23" s="893">
        <f>IFERROR(B18/B$20,0)</f>
        <v>0.95238095238095233</v>
      </c>
      <c r="C23" s="894">
        <f>IFERROR(C18/C$20,0)</f>
        <v>0.95238095238095233</v>
      </c>
      <c r="D23" s="893">
        <f>IFERROR(D18/D$20,0)</f>
        <v>0.95238095238095233</v>
      </c>
      <c r="E23" s="895">
        <f>IFERROR(E18/E$20,0)</f>
        <v>0.95238095238095233</v>
      </c>
      <c r="F23" s="295"/>
      <c r="G23" s="904">
        <v>0.4</v>
      </c>
      <c r="H23" s="905">
        <f>I22</f>
        <v>15820</v>
      </c>
      <c r="I23" s="906">
        <v>27920</v>
      </c>
      <c r="J23" s="49"/>
      <c r="K23" s="76"/>
      <c r="L23" s="49"/>
      <c r="M23" s="49"/>
      <c r="N23" s="49"/>
      <c r="O23" s="49"/>
      <c r="P23" s="49"/>
      <c r="Q23" s="49"/>
      <c r="R23" s="49"/>
      <c r="S23" s="49"/>
      <c r="T23" s="49"/>
    </row>
    <row r="24" spans="1:20" ht="15" thickBot="1">
      <c r="A24" s="879" t="s">
        <v>728</v>
      </c>
      <c r="B24" s="893">
        <f>IFERROR(B19/B$20,0)</f>
        <v>4.7619047619047616E-2</v>
      </c>
      <c r="C24" s="894">
        <f>IFERROR(C19/C$20,0)</f>
        <v>4.7619047619047616E-2</v>
      </c>
      <c r="D24" s="893">
        <f>IFERROR(D19/D$20,0)</f>
        <v>4.7619047619047616E-2</v>
      </c>
      <c r="E24" s="895">
        <f>IFERROR(E19/E$20,0)</f>
        <v>4.7619047619047616E-2</v>
      </c>
      <c r="F24" s="295"/>
      <c r="G24" s="901">
        <v>0.45</v>
      </c>
      <c r="H24" s="907">
        <f>I23</f>
        <v>27920</v>
      </c>
      <c r="I24" s="903">
        <v>48320</v>
      </c>
      <c r="J24" s="49"/>
      <c r="K24" s="49"/>
      <c r="L24" s="49"/>
      <c r="M24" s="49"/>
      <c r="N24" s="49"/>
      <c r="O24" s="49"/>
      <c r="P24" s="49"/>
      <c r="Q24" s="49"/>
      <c r="R24" s="49"/>
      <c r="S24" s="49"/>
      <c r="T24" s="49"/>
    </row>
    <row r="25" spans="1:20" ht="15" thickBot="1">
      <c r="A25" s="830" t="s">
        <v>729</v>
      </c>
      <c r="B25" s="831">
        <v>5000</v>
      </c>
      <c r="C25" s="831">
        <v>5000</v>
      </c>
      <c r="D25" s="831">
        <v>5000</v>
      </c>
      <c r="E25" s="832">
        <v>5000</v>
      </c>
      <c r="F25" s="295"/>
      <c r="G25" s="908">
        <v>0.5</v>
      </c>
      <c r="H25" s="909">
        <f>I24</f>
        <v>48320</v>
      </c>
      <c r="I25" s="910"/>
      <c r="J25" s="49"/>
      <c r="K25" s="49"/>
      <c r="L25" s="49"/>
      <c r="M25" s="49"/>
      <c r="N25" s="49"/>
      <c r="O25" s="49"/>
      <c r="P25" s="49"/>
      <c r="Q25" s="49"/>
      <c r="R25" s="49"/>
      <c r="S25" s="49"/>
      <c r="T25" s="49"/>
    </row>
    <row r="26" spans="1:20" ht="15" thickBot="1">
      <c r="A26" s="879" t="s">
        <v>731</v>
      </c>
      <c r="B26" s="896">
        <f ca="1">B$16-B27</f>
        <v>34285.714285714283</v>
      </c>
      <c r="C26" s="896">
        <f ca="1">C$16-C27</f>
        <v>64761.904761904763</v>
      </c>
      <c r="D26" s="896">
        <f ca="1">D$16-D27</f>
        <v>64761.904761904763</v>
      </c>
      <c r="E26" s="897">
        <f ca="1">E$16-E27</f>
        <v>64761.904761904763</v>
      </c>
      <c r="F26" s="295"/>
      <c r="G26" s="49"/>
      <c r="H26" s="49"/>
      <c r="I26" s="49"/>
      <c r="J26" s="49"/>
      <c r="K26" s="76"/>
      <c r="L26" s="49"/>
      <c r="M26" s="49"/>
      <c r="N26" s="49"/>
      <c r="O26" s="49"/>
      <c r="P26" s="49"/>
      <c r="Q26" s="49"/>
      <c r="R26" s="49"/>
      <c r="S26" s="49"/>
      <c r="T26" s="49"/>
    </row>
    <row r="27" spans="1:20" ht="15" thickBot="1">
      <c r="A27" s="911" t="s">
        <v>730</v>
      </c>
      <c r="B27" s="912">
        <f ca="1">IF(AND($B$25&lt;&gt;"",$B$22="Conjoint aidant (maxi-statut)"),MIN(B$16*B24,$B$25),B$16*B24)</f>
        <v>1714.2857142857142</v>
      </c>
      <c r="C27" s="912">
        <f ca="1">IF(AND($B$25&lt;&gt;"",$B$22="Conjoint aidant (maxi-statut)"),MIN(C$16*C24,$B$25),C$16*C24)</f>
        <v>3238.0952380952381</v>
      </c>
      <c r="D27" s="912">
        <f ca="1">IF(AND($B$25&lt;&gt;"",$B$22="Conjoint aidant (maxi-statut)"),MIN(D$16*D24,$B$25),D$16*D24)</f>
        <v>3238.0952380952381</v>
      </c>
      <c r="E27" s="913">
        <f ca="1">IF(AND($B$25&lt;&gt;"",$B$22="Conjoint aidant (maxi-statut)"),MIN(E$16*E24,$B$25),E$16*E24)</f>
        <v>3238.0952380952381</v>
      </c>
      <c r="F27" s="295"/>
      <c r="G27" s="807" t="s">
        <v>214</v>
      </c>
      <c r="H27" s="829"/>
      <c r="I27" s="808"/>
      <c r="J27" s="49"/>
      <c r="K27" s="49"/>
      <c r="L27" s="49"/>
      <c r="M27" s="49"/>
      <c r="N27" s="49"/>
      <c r="O27" s="49"/>
      <c r="P27" s="49"/>
      <c r="Q27" s="49"/>
      <c r="R27" s="49"/>
      <c r="S27" s="49"/>
      <c r="T27" s="49"/>
    </row>
    <row r="28" spans="1:20">
      <c r="A28" s="49"/>
      <c r="B28" s="49"/>
      <c r="C28" s="49"/>
      <c r="D28" s="49"/>
      <c r="E28" s="49"/>
      <c r="F28" s="295"/>
      <c r="G28" s="422">
        <v>10570</v>
      </c>
      <c r="H28" s="914" t="s">
        <v>215</v>
      </c>
      <c r="I28" s="915"/>
      <c r="J28" s="49"/>
      <c r="K28" s="49"/>
      <c r="L28" s="49"/>
      <c r="M28" s="49"/>
      <c r="N28" s="49"/>
      <c r="O28" s="49"/>
      <c r="P28" s="49"/>
      <c r="Q28" s="49"/>
      <c r="R28" s="49"/>
      <c r="S28" s="49"/>
      <c r="T28" s="49"/>
    </row>
    <row r="29" spans="1:20" ht="15" thickBot="1">
      <c r="A29" s="812" t="s">
        <v>732</v>
      </c>
      <c r="B29" s="812"/>
      <c r="C29" s="812"/>
      <c r="D29" s="812"/>
      <c r="E29" s="812"/>
      <c r="F29" s="296"/>
      <c r="G29" s="423"/>
      <c r="H29" s="916"/>
      <c r="I29" s="917"/>
      <c r="J29" s="49"/>
      <c r="K29" s="49"/>
      <c r="L29" s="49"/>
      <c r="M29" s="49"/>
      <c r="N29" s="49"/>
      <c r="O29" s="49"/>
      <c r="P29" s="49"/>
      <c r="Q29" s="49"/>
      <c r="R29" s="49"/>
      <c r="S29" s="49"/>
      <c r="T29" s="49"/>
    </row>
    <row r="30" spans="1:20" ht="15" thickBot="1">
      <c r="A30" s="833" t="s">
        <v>733</v>
      </c>
      <c r="B30" s="834">
        <f ca="1">B26</f>
        <v>34285.714285714283</v>
      </c>
      <c r="C30" s="834">
        <f ca="1">C26</f>
        <v>64761.904761904763</v>
      </c>
      <c r="D30" s="834">
        <f ca="1">D26</f>
        <v>64761.904761904763</v>
      </c>
      <c r="E30" s="835">
        <f ca="1">E26</f>
        <v>64761.904761904763</v>
      </c>
      <c r="F30" s="296"/>
      <c r="G30" s="49"/>
      <c r="H30" s="49"/>
      <c r="I30" s="49"/>
      <c r="J30" s="49"/>
      <c r="K30" s="49"/>
      <c r="L30" s="49"/>
      <c r="M30" s="49"/>
      <c r="N30" s="49"/>
      <c r="O30" s="49"/>
      <c r="P30" s="49"/>
      <c r="Q30" s="49"/>
      <c r="R30" s="49"/>
      <c r="S30" s="49"/>
      <c r="T30" s="49"/>
    </row>
    <row r="31" spans="1:20" ht="15" thickBot="1">
      <c r="A31" s="879" t="str">
        <f>CONCATENATE("Tranche ",TEXT($G$11,"0.0%")," de ",TEXT($H$11,"# ##0")," à ",TEXT($I$11,"# ##0"),"€")</f>
        <v>Tranche 20.5% de  0 à 73 448€</v>
      </c>
      <c r="B31" s="918">
        <f ca="1">MAX(0,MIN(B$30,$I$11)-$H$11)*$G$11</f>
        <v>7028.5714285714275</v>
      </c>
      <c r="C31" s="918">
        <f ca="1">MAX(0,MIN(C$30,$I$11)-$H$11)*$G$11</f>
        <v>13276.190476190475</v>
      </c>
      <c r="D31" s="918">
        <f ca="1">MAX(0,MIN(D$30,$I$11)-$H$11)*$G$11</f>
        <v>13276.190476190475</v>
      </c>
      <c r="E31" s="919">
        <f ca="1">MAX(0,MIN(E$30,$I$11)-$H$11)*$G$11</f>
        <v>13276.190476190475</v>
      </c>
      <c r="F31" s="295"/>
      <c r="G31" s="836" t="s">
        <v>216</v>
      </c>
      <c r="H31" s="837"/>
      <c r="I31" s="837"/>
      <c r="J31" s="838"/>
      <c r="K31" s="49"/>
      <c r="L31" s="49"/>
      <c r="M31" s="49"/>
      <c r="N31" s="49"/>
      <c r="O31" s="49"/>
      <c r="P31" s="49"/>
      <c r="Q31" s="49"/>
      <c r="R31" s="49"/>
      <c r="S31" s="49"/>
      <c r="T31" s="49"/>
    </row>
    <row r="32" spans="1:20" ht="15" thickBot="1">
      <c r="A32" s="879" t="str">
        <f>CONCATENATE("Tranche ",TEXT($G$12,"0.00%")," de ",TEXT($H$12,"# ##0")," à ",TEXT($I$12,"# ##0"),"€")</f>
        <v>Tranche 14.16% de 73 448 à 108 238€</v>
      </c>
      <c r="B32" s="918">
        <f ca="1">MAX(0,MIN(B$30,$I$12)-$H$12)*$G$12</f>
        <v>0</v>
      </c>
      <c r="C32" s="918">
        <f ca="1">MAX(0,MIN(C$30,$I$12)-$H$12)*$G$12</f>
        <v>0</v>
      </c>
      <c r="D32" s="918">
        <f ca="1">MAX(0,MIN(D$30,$I$12)-$H$12)*$G$12</f>
        <v>0</v>
      </c>
      <c r="E32" s="919">
        <f ca="1">MAX(0,MIN(E$30,$I$12)-$H$12)*$G$12</f>
        <v>0</v>
      </c>
      <c r="F32" s="295"/>
      <c r="G32" s="297">
        <v>1</v>
      </c>
      <c r="H32" s="902">
        <v>1920</v>
      </c>
      <c r="I32" s="298" t="s">
        <v>217</v>
      </c>
      <c r="J32" s="839">
        <f>+H32</f>
        <v>1920</v>
      </c>
      <c r="K32" s="49"/>
      <c r="L32" s="49"/>
      <c r="M32" s="49"/>
      <c r="N32" s="49"/>
      <c r="O32" s="49"/>
      <c r="P32" s="49"/>
      <c r="Q32" s="49"/>
      <c r="R32" s="49"/>
      <c r="S32" s="49"/>
      <c r="T32" s="49"/>
    </row>
    <row r="33" spans="1:20" ht="15" thickBot="1">
      <c r="A33" s="879" t="str">
        <f>CONCATENATE("Tranche ",TEXT($G$13,"0%")," au-delà de ",TEXT($H$13,"# ##0"),"€")</f>
        <v>Tranche 0% au-delà de 108 238€</v>
      </c>
      <c r="B33" s="918">
        <f ca="1">MAX(0,B$30-$H$13)*$G$13</f>
        <v>0</v>
      </c>
      <c r="C33" s="918">
        <f ca="1">MAX(0,C$30-$H$13)*$G$13</f>
        <v>0</v>
      </c>
      <c r="D33" s="918">
        <f ca="1">MAX(0,D$30-$H$13)*$G$13</f>
        <v>0</v>
      </c>
      <c r="E33" s="919">
        <f ca="1">MAX(0,E$30-$H$13)*$G$13</f>
        <v>0</v>
      </c>
      <c r="F33" s="295"/>
      <c r="G33" s="299">
        <v>2</v>
      </c>
      <c r="H33" s="907">
        <v>4950</v>
      </c>
      <c r="I33" s="300" t="s">
        <v>217</v>
      </c>
      <c r="J33" s="839">
        <f>+H33</f>
        <v>4950</v>
      </c>
      <c r="K33" s="49"/>
      <c r="L33" s="49"/>
      <c r="M33" s="49"/>
      <c r="N33" s="49"/>
      <c r="O33" s="49"/>
      <c r="P33" s="49"/>
      <c r="Q33" s="49"/>
      <c r="R33" s="49"/>
      <c r="S33" s="49"/>
      <c r="T33" s="49"/>
    </row>
    <row r="34" spans="1:20" ht="15" thickBot="1">
      <c r="A34" s="879" t="s">
        <v>734</v>
      </c>
      <c r="B34" s="918">
        <f ca="1">SUM(B31:B33)</f>
        <v>7028.5714285714275</v>
      </c>
      <c r="C34" s="918">
        <f ca="1">SUM(C31:C33)</f>
        <v>13276.190476190475</v>
      </c>
      <c r="D34" s="918">
        <f ca="1">SUM(D31:D33)</f>
        <v>13276.190476190475</v>
      </c>
      <c r="E34" s="919">
        <f ca="1">SUM(E31:E33)</f>
        <v>13276.190476190475</v>
      </c>
      <c r="F34" s="295"/>
      <c r="G34" s="299">
        <v>3</v>
      </c>
      <c r="H34" s="905">
        <v>11090</v>
      </c>
      <c r="I34" s="300" t="s">
        <v>217</v>
      </c>
      <c r="J34" s="839">
        <f>+H34</f>
        <v>11090</v>
      </c>
      <c r="K34" s="49"/>
      <c r="L34" s="49"/>
      <c r="M34" s="49"/>
      <c r="N34" s="49"/>
      <c r="O34" s="49"/>
      <c r="P34" s="49"/>
      <c r="Q34" s="49"/>
      <c r="R34" s="49"/>
      <c r="S34" s="49"/>
      <c r="T34" s="49"/>
    </row>
    <row r="35" spans="1:20" ht="15" thickBot="1">
      <c r="A35" s="879" t="str">
        <f>CONCATENATE("Frais de gestion (",TEXT($J$15,"0.00%"),")")</f>
        <v>Frais de gestion (4.05%)</v>
      </c>
      <c r="B35" s="918">
        <f ca="1">B34*$J$15</f>
        <v>284.65714285714284</v>
      </c>
      <c r="C35" s="918">
        <f ca="1">C34*$J$15</f>
        <v>537.68571428571431</v>
      </c>
      <c r="D35" s="918">
        <f ca="1">D34*$J$15</f>
        <v>537.68571428571431</v>
      </c>
      <c r="E35" s="919">
        <f ca="1">E34*$J$15</f>
        <v>537.68571428571431</v>
      </c>
      <c r="F35" s="295"/>
      <c r="G35" s="301">
        <v>4</v>
      </c>
      <c r="H35" s="909">
        <v>17940</v>
      </c>
      <c r="I35" s="302" t="s">
        <v>217</v>
      </c>
      <c r="J35" s="839">
        <f>+H35</f>
        <v>17940</v>
      </c>
      <c r="K35" s="49"/>
      <c r="L35" s="49"/>
      <c r="M35" s="49"/>
      <c r="N35" s="49"/>
      <c r="O35" s="49"/>
      <c r="P35" s="49"/>
      <c r="Q35" s="49"/>
      <c r="R35" s="49"/>
      <c r="S35" s="49"/>
      <c r="T35" s="49"/>
    </row>
    <row r="36" spans="1:20">
      <c r="A36" s="879" t="s">
        <v>735</v>
      </c>
      <c r="B36" s="918">
        <f ca="1">B34+B35</f>
        <v>7313.2285714285699</v>
      </c>
      <c r="C36" s="918">
        <f ca="1">C34+C35</f>
        <v>13813.876190476189</v>
      </c>
      <c r="D36" s="918">
        <f ca="1">D34+D35</f>
        <v>13813.876190476189</v>
      </c>
      <c r="E36" s="919">
        <f ca="1">E34+E35</f>
        <v>13813.876190476189</v>
      </c>
      <c r="F36" s="295"/>
      <c r="G36" s="920">
        <v>6850</v>
      </c>
      <c r="H36" s="424" t="s">
        <v>218</v>
      </c>
      <c r="I36" s="424"/>
      <c r="J36" s="425"/>
      <c r="K36" s="49"/>
      <c r="L36" s="49"/>
      <c r="M36" s="49"/>
      <c r="N36" s="49"/>
      <c r="O36" s="49"/>
      <c r="P36" s="49"/>
      <c r="Q36" s="49"/>
      <c r="R36" s="49"/>
      <c r="S36" s="49"/>
      <c r="T36" s="49"/>
    </row>
    <row r="37" spans="1:20" ht="15" thickBot="1">
      <c r="A37" s="840" t="s">
        <v>736</v>
      </c>
      <c r="B37" s="841">
        <f ca="1">IF($B$21="Néant / non concerné",0,IF($B$21="Indépendant à titre complémentaire",IF(B30&lt;$I$9,0,MIN($I$18,MAX($I$9*$G$11*(1+$J$15),B36))),MIN($I$18,MAX($I$15,B36))))</f>
        <v>7313.2285714285699</v>
      </c>
      <c r="C37" s="841">
        <f ca="1">IF($B$21="Néant / non concerné",0,IF($B$21="Indépendant à titre complémentaire",IF(C30&lt;$I$9,0,MIN($I$18,MAX($I$9*$G$11*(1+$J$15),C36))),MIN($I$18,MAX($I$15,C36))))</f>
        <v>13813.876190476189</v>
      </c>
      <c r="D37" s="841">
        <f ca="1">IF($B$21="Néant / non concerné",0,IF($B$21="Indépendant à titre complémentaire",IF(D30&lt;$I$9,0,MIN($I$18,MAX($I$9*$G$11*(1+$J$15),D36))),MIN($I$18,MAX($I$15,D36))))</f>
        <v>13813.876190476189</v>
      </c>
      <c r="E37" s="842">
        <f ca="1">IF($B$21="Néant / non concerné",0,IF($B$21="Indépendant à titre complémentaire",IF(E30&lt;$I$9,0,MIN($I$18,MAX($I$9*$G$11*(1+$J$15),E36))),MIN($I$18,MAX($I$15,E36))))</f>
        <v>13813.876190476189</v>
      </c>
      <c r="F37" s="295"/>
      <c r="G37" s="921">
        <v>1850</v>
      </c>
      <c r="H37" s="419" t="s">
        <v>219</v>
      </c>
      <c r="I37" s="419"/>
      <c r="J37" s="420"/>
      <c r="K37" s="49"/>
      <c r="L37" s="49"/>
      <c r="M37" s="49"/>
      <c r="N37" s="49"/>
      <c r="O37" s="49"/>
      <c r="P37" s="49"/>
      <c r="Q37" s="49"/>
      <c r="R37" s="49"/>
      <c r="S37" s="49"/>
      <c r="T37" s="49"/>
    </row>
    <row r="38" spans="1:20" ht="15" thickBot="1">
      <c r="A38" s="843"/>
      <c r="B38" s="49"/>
      <c r="C38" s="49"/>
      <c r="D38" s="49"/>
      <c r="E38" s="49"/>
      <c r="F38" s="295"/>
      <c r="G38" s="921">
        <v>690</v>
      </c>
      <c r="H38" s="419" t="s">
        <v>220</v>
      </c>
      <c r="I38" s="419"/>
      <c r="J38" s="420"/>
      <c r="K38" s="49"/>
      <c r="L38" s="49"/>
      <c r="M38" s="49"/>
      <c r="N38" s="49"/>
      <c r="O38" s="49"/>
      <c r="P38" s="49"/>
      <c r="Q38" s="49"/>
      <c r="R38" s="49"/>
      <c r="S38" s="49"/>
      <c r="T38" s="49"/>
    </row>
    <row r="39" spans="1:20">
      <c r="A39" s="833" t="s">
        <v>737</v>
      </c>
      <c r="B39" s="834">
        <f ca="1">B27</f>
        <v>1714.2857142857142</v>
      </c>
      <c r="C39" s="834">
        <f ca="1">C27</f>
        <v>3238.0952380952381</v>
      </c>
      <c r="D39" s="834">
        <f ca="1">D27</f>
        <v>3238.0952380952381</v>
      </c>
      <c r="E39" s="835">
        <f ca="1">E27</f>
        <v>3238.0952380952381</v>
      </c>
      <c r="F39" s="295"/>
      <c r="G39" s="921">
        <v>3270</v>
      </c>
      <c r="H39" s="419" t="s">
        <v>221</v>
      </c>
      <c r="I39" s="419"/>
      <c r="J39" s="420"/>
      <c r="K39" s="49"/>
      <c r="L39" s="49"/>
      <c r="M39" s="49"/>
      <c r="N39" s="49"/>
      <c r="O39" s="49"/>
      <c r="P39" s="49"/>
      <c r="Q39" s="49"/>
      <c r="R39" s="49"/>
      <c r="S39" s="49"/>
      <c r="T39" s="49"/>
    </row>
    <row r="40" spans="1:20" ht="15" thickBot="1">
      <c r="A40" s="879" t="str">
        <f>A31</f>
        <v>Tranche 20.5% de  0 à 73 448€</v>
      </c>
      <c r="B40" s="918">
        <f ca="1">MAX(0,MIN(B$39,$I$11)-$H$11)*$G$11</f>
        <v>351.42857142857139</v>
      </c>
      <c r="C40" s="918">
        <f ca="1">MAX(0,MIN(C$39,$I$11)-$H$11)*$G$11</f>
        <v>663.80952380952374</v>
      </c>
      <c r="D40" s="918">
        <f ca="1">MAX(0,MIN(D$39,$I$11)-$H$11)*$G$11</f>
        <v>663.80952380952374</v>
      </c>
      <c r="E40" s="919">
        <f ca="1">MAX(0,MIN(E$39,$I$11)-$H$11)*$G$11</f>
        <v>663.80952380952374</v>
      </c>
      <c r="F40" s="303"/>
      <c r="G40" s="922">
        <v>1920</v>
      </c>
      <c r="H40" s="426" t="s">
        <v>222</v>
      </c>
      <c r="I40" s="426"/>
      <c r="J40" s="427"/>
      <c r="K40" s="49"/>
      <c r="L40" s="49"/>
      <c r="M40" s="49"/>
      <c r="N40" s="49"/>
      <c r="O40" s="49"/>
      <c r="P40" s="49"/>
      <c r="Q40" s="49"/>
      <c r="R40" s="49"/>
      <c r="S40" s="49"/>
      <c r="T40" s="49"/>
    </row>
    <row r="41" spans="1:20" ht="15" thickBot="1">
      <c r="A41" s="879" t="str">
        <f>A32</f>
        <v>Tranche 14.16% de 73 448 à 108 238€</v>
      </c>
      <c r="B41" s="918">
        <f ca="1">MAX(0,MIN(B$39,$I$12)-$H$12)*$G$12</f>
        <v>0</v>
      </c>
      <c r="C41" s="918">
        <f ca="1">MAX(0,MIN(C$39,$I$12)-$H$12)*$G$12</f>
        <v>0</v>
      </c>
      <c r="D41" s="918">
        <f ca="1">MAX(0,MIN(D$39,$I$12)-$H$12)*$G$12</f>
        <v>0</v>
      </c>
      <c r="E41" s="919">
        <f ca="1">MAX(0,MIN(E$39,$I$12)-$H$12)*$G$12</f>
        <v>0</v>
      </c>
      <c r="F41" s="304"/>
      <c r="G41" s="49"/>
      <c r="H41" s="49"/>
      <c r="I41" s="49"/>
      <c r="J41" s="49"/>
      <c r="K41" s="49"/>
      <c r="L41" s="49"/>
      <c r="M41" s="49"/>
      <c r="N41" s="49"/>
      <c r="O41" s="49"/>
      <c r="P41" s="49"/>
      <c r="Q41" s="49"/>
      <c r="R41" s="49"/>
      <c r="S41" s="49"/>
      <c r="T41" s="49"/>
    </row>
    <row r="42" spans="1:20" ht="15" thickBot="1">
      <c r="A42" s="879" t="str">
        <f>A33</f>
        <v>Tranche 0% au-delà de 108 238€</v>
      </c>
      <c r="B42" s="918">
        <f ca="1">MAX(0,B$39-$H$13)*$G$13</f>
        <v>0</v>
      </c>
      <c r="C42" s="918">
        <f ca="1">MAX(0,C$39-$H$13)*$G$13</f>
        <v>0</v>
      </c>
      <c r="D42" s="918">
        <f ca="1">MAX(0,D$39-$H$13)*$G$13</f>
        <v>0</v>
      </c>
      <c r="E42" s="919">
        <f ca="1">MAX(0,E$39-$H$13)*$G$13</f>
        <v>0</v>
      </c>
      <c r="F42" s="304"/>
      <c r="G42" s="828" t="s">
        <v>211</v>
      </c>
      <c r="H42" s="829" t="s">
        <v>223</v>
      </c>
      <c r="I42" s="808"/>
      <c r="J42" s="49"/>
      <c r="K42" s="49"/>
      <c r="L42" s="49"/>
      <c r="M42" s="49"/>
      <c r="N42" s="49"/>
      <c r="O42" s="49"/>
      <c r="P42" s="49"/>
      <c r="Q42" s="49"/>
      <c r="R42" s="49"/>
      <c r="S42" s="49"/>
      <c r="T42" s="49"/>
    </row>
    <row r="43" spans="1:20">
      <c r="A43" s="879" t="s">
        <v>734</v>
      </c>
      <c r="B43" s="918">
        <f ca="1">SUM(B40:B42)</f>
        <v>351.42857142857139</v>
      </c>
      <c r="C43" s="918">
        <f ca="1">SUM(C40:C42)</f>
        <v>663.80952380952374</v>
      </c>
      <c r="D43" s="918">
        <f ca="1">SUM(D40:D42)</f>
        <v>663.80952380952374</v>
      </c>
      <c r="E43" s="919">
        <f ca="1">SUM(E40:E42)</f>
        <v>663.80952380952374</v>
      </c>
      <c r="F43" s="295"/>
      <c r="G43" s="901">
        <v>0.25</v>
      </c>
      <c r="H43" s="902">
        <v>0.01</v>
      </c>
      <c r="I43" s="923">
        <f>+G28</f>
        <v>10570</v>
      </c>
      <c r="J43" s="49"/>
      <c r="K43" s="49"/>
      <c r="L43" s="49"/>
      <c r="M43" s="49"/>
      <c r="N43" s="49"/>
      <c r="O43" s="49"/>
      <c r="P43" s="49"/>
      <c r="Q43" s="49"/>
      <c r="R43" s="49"/>
      <c r="S43" s="49"/>
      <c r="T43" s="49"/>
    </row>
    <row r="44" spans="1:20">
      <c r="A44" s="879" t="str">
        <f>A35</f>
        <v>Frais de gestion (4.05%)</v>
      </c>
      <c r="B44" s="918">
        <f ca="1">B43*$J$15</f>
        <v>14.232857142857142</v>
      </c>
      <c r="C44" s="918">
        <f ca="1">C43*$J$15</f>
        <v>26.884285714285713</v>
      </c>
      <c r="D44" s="918">
        <f ca="1">D43*$J$15</f>
        <v>26.884285714285713</v>
      </c>
      <c r="E44" s="919">
        <f ca="1">E43*$J$15</f>
        <v>26.884285714285713</v>
      </c>
      <c r="F44" s="295"/>
      <c r="G44" s="904">
        <v>0.4</v>
      </c>
      <c r="H44" s="905">
        <f>I43</f>
        <v>10570</v>
      </c>
      <c r="I44" s="924">
        <v>13250</v>
      </c>
      <c r="J44" s="49"/>
      <c r="K44" s="49"/>
      <c r="L44" s="49"/>
      <c r="M44" s="49"/>
      <c r="N44" s="49"/>
      <c r="O44" s="49"/>
      <c r="P44" s="49"/>
      <c r="Q44" s="49"/>
      <c r="R44" s="49"/>
      <c r="S44" s="49"/>
      <c r="T44" s="49"/>
    </row>
    <row r="45" spans="1:20">
      <c r="A45" s="879" t="s">
        <v>735</v>
      </c>
      <c r="B45" s="918">
        <f ca="1">B43+B44</f>
        <v>365.66142857142853</v>
      </c>
      <c r="C45" s="918">
        <f ca="1">C43+C44</f>
        <v>690.69380952380948</v>
      </c>
      <c r="D45" s="918">
        <f ca="1">D43+D44</f>
        <v>690.69380952380948</v>
      </c>
      <c r="E45" s="919">
        <f ca="1">E43+E44</f>
        <v>690.69380952380948</v>
      </c>
      <c r="F45" s="295"/>
      <c r="G45" s="901">
        <v>0.45</v>
      </c>
      <c r="H45" s="907">
        <f>I44</f>
        <v>13250</v>
      </c>
      <c r="I45" s="925">
        <v>22080</v>
      </c>
      <c r="J45" s="49"/>
      <c r="K45" s="49"/>
      <c r="L45" s="49"/>
      <c r="M45" s="49"/>
      <c r="N45" s="49"/>
      <c r="O45" s="49"/>
      <c r="P45" s="49"/>
      <c r="Q45" s="49"/>
      <c r="R45" s="49"/>
      <c r="S45" s="49"/>
      <c r="T45" s="49"/>
    </row>
    <row r="46" spans="1:20" ht="15" thickBot="1">
      <c r="A46" s="840" t="s">
        <v>738</v>
      </c>
      <c r="B46" s="841">
        <f ca="1">IF($B$22="Néant / non concerné",0,IF($B$22="Indépendant à titre complémentaire",IF(B39&lt;$I$9,0,MIN($I$18,MAX($I$9*$G$11*(1+$J$15),B45))),MIN($I$18,MAX($I$15,B45))))</f>
        <v>3628.0366261999998</v>
      </c>
      <c r="C46" s="841">
        <f ca="1">IF($B$22="Néant / non concerné",0,IF($B$22="Indépendant à titre complémentaire",IF(C39&lt;$I$9,0,MIN($I$18,MAX($I$9*$G$11*(1+$J$15),C45))),MIN($I$18,MAX($I$15,C45))))</f>
        <v>3628.0366261999998</v>
      </c>
      <c r="D46" s="841">
        <f ca="1">IF($B$22="Néant / non concerné",0,IF($B$22="Indépendant à titre complémentaire",IF(D39&lt;$I$9,0,MIN($I$18,MAX($I$9*$G$11*(1+$J$15),D45))),MIN($I$18,MAX($I$15,D45))))</f>
        <v>3628.0366261999998</v>
      </c>
      <c r="E46" s="842">
        <f ca="1">IF($B$22="Néant / non concerné",0,IF($B$22="Indépendant à titre complémentaire",IF(E39&lt;$I$9,0,MIN($I$18,MAX($I$9*$G$11*(1+$J$15),E45))),MIN($I$18,MAX($I$15,E45))))</f>
        <v>3628.0366261999998</v>
      </c>
      <c r="F46" s="295"/>
      <c r="G46" s="901">
        <v>0.45</v>
      </c>
      <c r="H46" s="907">
        <f>I45</f>
        <v>22080</v>
      </c>
      <c r="I46" s="925">
        <v>40480</v>
      </c>
      <c r="J46" s="49"/>
      <c r="K46" s="49"/>
      <c r="L46" s="49"/>
      <c r="M46" s="49"/>
      <c r="N46" s="49"/>
      <c r="O46" s="49"/>
      <c r="P46" s="49"/>
      <c r="Q46" s="49"/>
      <c r="R46" s="49"/>
      <c r="S46" s="49"/>
      <c r="T46" s="49"/>
    </row>
    <row r="47" spans="1:20" ht="15" thickBot="1">
      <c r="A47" s="49"/>
      <c r="B47" s="49"/>
      <c r="C47" s="49"/>
      <c r="D47" s="49"/>
      <c r="E47" s="49"/>
      <c r="F47" s="49"/>
      <c r="G47" s="908">
        <v>0.5</v>
      </c>
      <c r="H47" s="909">
        <f>I46</f>
        <v>40480</v>
      </c>
      <c r="I47" s="910"/>
      <c r="J47" s="49"/>
      <c r="K47" s="49"/>
      <c r="L47" s="49"/>
      <c r="M47" s="49"/>
      <c r="N47" s="49"/>
      <c r="O47" s="49"/>
      <c r="P47" s="49"/>
      <c r="Q47" s="49"/>
      <c r="R47" s="49"/>
      <c r="S47" s="49"/>
      <c r="T47" s="49"/>
    </row>
    <row r="48" spans="1:20" ht="15" thickBot="1">
      <c r="A48" s="812" t="s">
        <v>739</v>
      </c>
      <c r="B48" s="812"/>
      <c r="C48" s="812"/>
      <c r="D48" s="812"/>
      <c r="E48" s="812"/>
      <c r="F48" s="49"/>
      <c r="G48" s="49"/>
      <c r="H48" s="49"/>
      <c r="I48" s="49"/>
      <c r="J48" s="49"/>
      <c r="K48" s="49"/>
      <c r="L48" s="49"/>
      <c r="M48" s="49"/>
      <c r="N48" s="49"/>
      <c r="O48" s="49"/>
      <c r="P48" s="49"/>
      <c r="Q48" s="49"/>
      <c r="R48" s="49"/>
      <c r="S48" s="49"/>
      <c r="T48" s="49"/>
    </row>
    <row r="49" spans="1:20">
      <c r="A49" s="926" t="s">
        <v>731</v>
      </c>
      <c r="B49" s="927">
        <f ca="1">B26</f>
        <v>34285.714285714283</v>
      </c>
      <c r="C49" s="927">
        <f ca="1">C26</f>
        <v>64761.904761904763</v>
      </c>
      <c r="D49" s="927">
        <f ca="1">D26</f>
        <v>64761.904761904763</v>
      </c>
      <c r="E49" s="928">
        <f ca="1">E26</f>
        <v>64761.904761904763</v>
      </c>
      <c r="F49" s="49"/>
      <c r="G49" s="284"/>
      <c r="H49" s="49"/>
      <c r="I49" s="49"/>
      <c r="J49" s="49"/>
      <c r="K49" s="49"/>
      <c r="L49" s="49"/>
      <c r="M49" s="49"/>
      <c r="N49" s="49"/>
      <c r="O49" s="49"/>
      <c r="P49" s="49"/>
      <c r="Q49" s="49"/>
      <c r="R49" s="49"/>
      <c r="S49" s="49"/>
      <c r="T49" s="49"/>
    </row>
    <row r="50" spans="1:20" ht="15" thickBot="1">
      <c r="A50" s="929" t="s">
        <v>740</v>
      </c>
      <c r="B50" s="930">
        <f ca="1">-B37</f>
        <v>-7313.2285714285699</v>
      </c>
      <c r="C50" s="930">
        <f ca="1">-C37</f>
        <v>-13813.876190476189</v>
      </c>
      <c r="D50" s="930">
        <f ca="1">-D37</f>
        <v>-13813.876190476189</v>
      </c>
      <c r="E50" s="931">
        <f ca="1">-E37</f>
        <v>-13813.876190476189</v>
      </c>
      <c r="F50" s="49"/>
      <c r="G50" s="49"/>
      <c r="H50" s="49"/>
      <c r="I50" s="49"/>
      <c r="J50" s="49"/>
      <c r="K50" s="49"/>
      <c r="L50" s="49"/>
      <c r="M50" s="49"/>
      <c r="N50" s="49"/>
      <c r="O50" s="49"/>
      <c r="P50" s="49"/>
      <c r="Q50" s="49"/>
      <c r="R50" s="49"/>
      <c r="S50" s="49"/>
      <c r="T50" s="49"/>
    </row>
    <row r="51" spans="1:20" ht="15" customHeight="1">
      <c r="A51" s="844" t="s">
        <v>741</v>
      </c>
      <c r="B51" s="845">
        <f ca="1">MAX(0,B49+B50)</f>
        <v>26972.485714285714</v>
      </c>
      <c r="C51" s="845">
        <f ca="1">MAX(0,C49+C50)</f>
        <v>50948.028571428571</v>
      </c>
      <c r="D51" s="845">
        <f ca="1">MAX(0,D49+D50)</f>
        <v>50948.028571428571</v>
      </c>
      <c r="E51" s="846">
        <f ca="1">MAX(0,E49+E50)</f>
        <v>50948.028571428571</v>
      </c>
      <c r="F51" s="49"/>
      <c r="G51" s="847" t="s">
        <v>225</v>
      </c>
      <c r="H51" s="848"/>
      <c r="I51" s="849"/>
      <c r="J51" s="49"/>
      <c r="K51" s="49"/>
      <c r="L51" s="49"/>
      <c r="M51" s="49"/>
      <c r="N51" s="49"/>
      <c r="O51" s="49"/>
      <c r="P51" s="49"/>
      <c r="Q51" s="49"/>
      <c r="R51" s="49"/>
      <c r="S51" s="49"/>
      <c r="T51" s="49"/>
    </row>
    <row r="52" spans="1:20">
      <c r="A52" s="929" t="str">
        <f>CONCATENATE("Taux de ",TEXT($G$22,"0%")," de ",TEXT($H$22,"# ##0")," à ",TEXT($I$22,"# ##0"),"€")</f>
        <v>Taux de 25% de  0 à 15 820€</v>
      </c>
      <c r="B52" s="930">
        <f ca="1">MAX(0,MIN(B$51,$I$22)-$H$22)*$G$22</f>
        <v>3955</v>
      </c>
      <c r="C52" s="930">
        <f ca="1">MAX(0,MIN(C$51,$I$22)-$H$22)*$G$22</f>
        <v>3955</v>
      </c>
      <c r="D52" s="930">
        <f ca="1">MAX(0,MIN(D$51,$I$22)-$H$22)*$G$22</f>
        <v>3955</v>
      </c>
      <c r="E52" s="931">
        <f ca="1">MAX(0,MIN(E$51,$I$22)-$H$22)*$G$22</f>
        <v>3955</v>
      </c>
      <c r="F52" s="49"/>
      <c r="G52" s="850" t="s">
        <v>226</v>
      </c>
      <c r="H52" s="851" t="s">
        <v>227</v>
      </c>
      <c r="I52" s="852"/>
      <c r="J52" s="49"/>
      <c r="K52" s="49"/>
      <c r="L52" s="49"/>
      <c r="M52" s="49"/>
      <c r="N52" s="49"/>
      <c r="O52" s="49"/>
      <c r="P52" s="49"/>
      <c r="Q52" s="49"/>
      <c r="R52" s="49"/>
      <c r="S52" s="49"/>
      <c r="T52" s="49"/>
    </row>
    <row r="53" spans="1:20">
      <c r="A53" s="929" t="str">
        <f>CONCATENATE("Taux de ",TEXT($G$23,"0%")," de ",TEXT($H$23,"# ##0")," à ",TEXT($I$23,"# ##0"),"€")</f>
        <v>Taux de 40% de 15 820 à 27 920€</v>
      </c>
      <c r="B53" s="930">
        <f ca="1">MAX(0,MIN(B$51,$I$23)-$H$23)*$G$23</f>
        <v>4460.994285714286</v>
      </c>
      <c r="C53" s="930">
        <f ca="1">MAX(0,MIN(C$51,$I$23)-$H$23)*$G$23</f>
        <v>4840</v>
      </c>
      <c r="D53" s="930">
        <f ca="1">MAX(0,MIN(D$51,$I$23)-$H$23)*$G$23</f>
        <v>4840</v>
      </c>
      <c r="E53" s="931">
        <f ca="1">MAX(0,MIN(E$51,$I$23)-$H$23)*$G$23</f>
        <v>4840</v>
      </c>
      <c r="F53" s="49"/>
      <c r="G53" s="932">
        <v>0.2</v>
      </c>
      <c r="H53" s="872">
        <v>0</v>
      </c>
      <c r="I53" s="933">
        <v>100000</v>
      </c>
      <c r="J53" s="49"/>
      <c r="K53" s="49"/>
      <c r="L53" s="49"/>
      <c r="M53" s="49"/>
      <c r="N53" s="49"/>
      <c r="O53" s="49"/>
      <c r="P53" s="49"/>
      <c r="Q53" s="49"/>
      <c r="R53" s="49"/>
      <c r="S53" s="49"/>
      <c r="T53" s="49"/>
    </row>
    <row r="54" spans="1:20">
      <c r="A54" s="929" t="str">
        <f>CONCATENATE("Taux de ",TEXT($G$24,"0%")," de ",TEXT($H$24,"# ##0")," à ",TEXT($I$24,"# ##0"),"€")</f>
        <v>Taux de 45% de 27 920 à 48 320€</v>
      </c>
      <c r="B54" s="930">
        <f ca="1">MAX(0,MIN(B$51,$I$24)-$H$24)*$G$24</f>
        <v>0</v>
      </c>
      <c r="C54" s="930">
        <f ca="1">MAX(0,MIN(C$51,$I$24)-$H$24)*$G$24</f>
        <v>9180</v>
      </c>
      <c r="D54" s="930">
        <f ca="1">MAX(0,MIN(D$51,$I$24)-$H$24)*$G$24</f>
        <v>9180</v>
      </c>
      <c r="E54" s="931">
        <f ca="1">MAX(0,MIN(E$51,$I$24)-$H$24)*$G$24</f>
        <v>9180</v>
      </c>
      <c r="F54" s="49"/>
      <c r="G54" s="932">
        <v>0.25</v>
      </c>
      <c r="H54" s="872">
        <f>I53</f>
        <v>100000</v>
      </c>
      <c r="I54" s="933"/>
      <c r="J54" s="49"/>
      <c r="K54" s="49"/>
      <c r="L54" s="49"/>
      <c r="M54" s="49"/>
      <c r="N54" s="49"/>
      <c r="O54" s="49"/>
      <c r="P54" s="49"/>
      <c r="Q54" s="49"/>
      <c r="R54" s="49"/>
      <c r="S54" s="49"/>
      <c r="T54" s="49"/>
    </row>
    <row r="55" spans="1:20" ht="15" thickBot="1">
      <c r="A55" s="929" t="str">
        <f>CONCATENATE("Taux de ",TEXT($G$25,"0%")," au-delà de ",TEXT($H$25,"# ##0"),"€")</f>
        <v>Taux de 50% au-delà de 48 320€</v>
      </c>
      <c r="B55" s="930">
        <f ca="1">MAX(0,B$51-$H$25)*$G$25</f>
        <v>0</v>
      </c>
      <c r="C55" s="930">
        <f ca="1">MAX(0,C$51-$H$25)*$G$25</f>
        <v>1314.0142857142855</v>
      </c>
      <c r="D55" s="930">
        <f ca="1">MAX(0,D$51-$H$25)*$G$25</f>
        <v>1314.0142857142855</v>
      </c>
      <c r="E55" s="931">
        <f ca="1">MAX(0,E$51-$H$25)*$G$25</f>
        <v>1314.0142857142855</v>
      </c>
      <c r="F55" s="49"/>
      <c r="G55" s="307"/>
      <c r="H55" s="308"/>
      <c r="I55" s="309"/>
      <c r="J55" s="49"/>
      <c r="K55" s="49"/>
      <c r="L55" s="49"/>
      <c r="M55" s="49"/>
      <c r="N55" s="49"/>
      <c r="O55" s="49"/>
      <c r="P55" s="49"/>
      <c r="Q55" s="49"/>
      <c r="R55" s="49"/>
      <c r="S55" s="49"/>
      <c r="T55" s="49"/>
    </row>
    <row r="56" spans="1:20">
      <c r="A56" s="929" t="s">
        <v>742</v>
      </c>
      <c r="B56" s="930">
        <f ca="1">SUM(B52:B55)</f>
        <v>8415.9942857142851</v>
      </c>
      <c r="C56" s="930">
        <f ca="1">SUM(C52:C55)</f>
        <v>19289.014285714286</v>
      </c>
      <c r="D56" s="930">
        <f ca="1">SUM(D52:D55)</f>
        <v>19289.014285714286</v>
      </c>
      <c r="E56" s="931">
        <f ca="1">SUM(E52:E55)</f>
        <v>19289.014285714286</v>
      </c>
      <c r="F56" s="49"/>
      <c r="G56" s="49"/>
      <c r="H56" s="49"/>
      <c r="I56" s="49"/>
      <c r="J56" s="49"/>
      <c r="K56" s="49"/>
      <c r="L56" s="49"/>
      <c r="M56" s="49"/>
      <c r="N56" s="49"/>
      <c r="O56" s="49"/>
      <c r="P56" s="49"/>
      <c r="Q56" s="49"/>
      <c r="R56" s="49"/>
      <c r="S56" s="49"/>
      <c r="T56" s="49"/>
    </row>
    <row r="57" spans="1:20">
      <c r="A57" s="929" t="s">
        <v>743</v>
      </c>
      <c r="B57" s="930">
        <f>$G$28</f>
        <v>10570</v>
      </c>
      <c r="C57" s="930">
        <f>$G$28</f>
        <v>10570</v>
      </c>
      <c r="D57" s="930">
        <f>$G$28</f>
        <v>10570</v>
      </c>
      <c r="E57" s="931">
        <f>$G$28</f>
        <v>10570</v>
      </c>
      <c r="F57" s="49"/>
      <c r="G57" s="49"/>
      <c r="H57" s="49"/>
      <c r="I57" s="49"/>
      <c r="J57" s="49"/>
      <c r="K57" s="49"/>
      <c r="L57" s="49"/>
      <c r="M57" s="49"/>
      <c r="N57" s="49"/>
      <c r="O57" s="49"/>
      <c r="P57" s="49"/>
      <c r="Q57" s="49"/>
      <c r="R57" s="49"/>
      <c r="S57" s="49"/>
      <c r="T57" s="49"/>
    </row>
    <row r="58" spans="1:20">
      <c r="A58" s="853" t="s">
        <v>744</v>
      </c>
      <c r="B58" s="854">
        <v>0</v>
      </c>
      <c r="C58" s="854">
        <v>0</v>
      </c>
      <c r="D58" s="854">
        <v>0</v>
      </c>
      <c r="E58" s="855">
        <v>0</v>
      </c>
      <c r="F58" s="49"/>
      <c r="G58" s="49"/>
      <c r="H58" s="49"/>
      <c r="I58" s="49"/>
      <c r="J58" s="49"/>
      <c r="K58" s="49"/>
      <c r="L58" s="49"/>
      <c r="M58" s="49"/>
      <c r="N58" s="49"/>
      <c r="O58" s="49"/>
      <c r="P58" s="49"/>
      <c r="Q58" s="49"/>
      <c r="R58" s="49"/>
      <c r="S58" s="49"/>
      <c r="T58" s="49"/>
    </row>
    <row r="59" spans="1:20">
      <c r="A59" s="929" t="s">
        <v>745</v>
      </c>
      <c r="B59" s="930">
        <f>B57+B58</f>
        <v>10570</v>
      </c>
      <c r="C59" s="930">
        <f>C57+C58</f>
        <v>10570</v>
      </c>
      <c r="D59" s="930">
        <f>D57+D58</f>
        <v>10570</v>
      </c>
      <c r="E59" s="931">
        <f>E57+E58</f>
        <v>10570</v>
      </c>
      <c r="F59" s="49"/>
      <c r="G59" s="49"/>
      <c r="H59" s="49"/>
      <c r="I59" s="49"/>
      <c r="J59" s="49"/>
      <c r="K59" s="49"/>
      <c r="L59" s="49"/>
      <c r="M59" s="49"/>
      <c r="N59" s="49"/>
      <c r="O59" s="49"/>
      <c r="P59" s="49"/>
      <c r="Q59" s="49"/>
      <c r="R59" s="49"/>
      <c r="S59" s="49"/>
      <c r="T59" s="49"/>
    </row>
    <row r="60" spans="1:20">
      <c r="A60" s="929" t="s">
        <v>746</v>
      </c>
      <c r="B60" s="930">
        <f>MAX(0,MIN(B$59,$I$43)-$H$43)*$G$43+MAX(0,MIN(B$59,$I$44)-$H$44)*$G$44+MAX(0,MIN(B$59,$I$45)-$H$45)*$G$45+MAX(0,MIN(B$59,$I$46)-$H$46)*$G$46+MAX(0,B$59-$H$47)*$G$47</f>
        <v>2642.4974999999999</v>
      </c>
      <c r="C60" s="930">
        <f>MAX(0,MIN(C$59,$I$43)-$H$43)*$G$43+MAX(0,MIN(C$59,$I$44)-$H$44)*$G$44+MAX(0,MIN(C$59,$I$45)-$H$45)*$G$45+MAX(0,MIN(C$59,$I$46)-$H$46)*$G$46+MAX(0,C$59-$H$47)*$G$47</f>
        <v>2642.4974999999999</v>
      </c>
      <c r="D60" s="930">
        <f>MAX(0,MIN(D$59,$I$43)-$H$43)*$G$43+MAX(0,MIN(D$59,$I$44)-$H$44)*$G$44+MAX(0,MIN(D$59,$I$45)-$H$45)*$G$45+MAX(0,MIN(D$59,$I$46)-$H$46)*$G$46+MAX(0,D$59-$H$47)*$G$47</f>
        <v>2642.4974999999999</v>
      </c>
      <c r="E60" s="931">
        <f>MAX(0,MIN(E$59,$I$43)-$H$43)*$G$43+MAX(0,MIN(E$59,$I$44)-$H$44)*$G$44+MAX(0,MIN(E$59,$I$45)-$H$45)*$G$45+MAX(0,MIN(E$59,$I$46)-$H$46)*$G$46+MAX(0,E$59-$H$47)*$G$47</f>
        <v>2642.4974999999999</v>
      </c>
      <c r="F60" s="49"/>
      <c r="G60" s="49"/>
      <c r="H60" s="49"/>
      <c r="I60" s="49"/>
      <c r="J60" s="49"/>
      <c r="K60" s="49"/>
      <c r="L60" s="49"/>
      <c r="M60" s="49"/>
      <c r="N60" s="49"/>
      <c r="O60" s="49"/>
      <c r="P60" s="49"/>
      <c r="Q60" s="49"/>
      <c r="R60" s="49"/>
      <c r="S60" s="49"/>
      <c r="T60" s="49"/>
    </row>
    <row r="61" spans="1:20" ht="15" thickBot="1">
      <c r="A61" s="856" t="s">
        <v>747</v>
      </c>
      <c r="B61" s="857">
        <f ca="1">IF($B$21="Néant / non concerné",0,MAX(0,B56-B60))</f>
        <v>5773.4967857142856</v>
      </c>
      <c r="C61" s="857">
        <f ca="1">IF($B$21="Néant / non concerné",0,MAX(0,C56-C60))</f>
        <v>16646.516785714284</v>
      </c>
      <c r="D61" s="857">
        <f ca="1">IF($B$21="Néant / non concerné",0,MAX(0,D56-D60))</f>
        <v>16646.516785714284</v>
      </c>
      <c r="E61" s="858">
        <f ca="1">IF($B$21="Néant / non concerné",0,MAX(0,E56-E60))</f>
        <v>16646.516785714284</v>
      </c>
      <c r="F61" s="49"/>
      <c r="G61" s="49"/>
      <c r="H61" s="49"/>
      <c r="I61" s="49"/>
      <c r="J61" s="49"/>
      <c r="K61" s="49"/>
      <c r="L61" s="49"/>
      <c r="M61" s="49"/>
      <c r="N61" s="49"/>
      <c r="O61" s="49"/>
      <c r="P61" s="49"/>
      <c r="Q61" s="49"/>
      <c r="R61" s="49"/>
      <c r="S61" s="49"/>
      <c r="T61" s="49"/>
    </row>
    <row r="62" spans="1:20" ht="15" thickBot="1">
      <c r="F62" s="49"/>
      <c r="G62" s="49"/>
      <c r="H62" s="49"/>
      <c r="I62" s="49"/>
      <c r="J62" s="49"/>
      <c r="K62" s="49"/>
      <c r="L62" s="49"/>
      <c r="M62" s="49"/>
      <c r="N62" s="49"/>
      <c r="O62" s="49"/>
      <c r="P62" s="49"/>
      <c r="Q62" s="49"/>
      <c r="R62" s="49"/>
      <c r="S62" s="49"/>
      <c r="T62" s="49"/>
    </row>
    <row r="63" spans="1:20">
      <c r="A63" s="926" t="s">
        <v>730</v>
      </c>
      <c r="B63" s="927">
        <f ca="1">B27</f>
        <v>1714.2857142857142</v>
      </c>
      <c r="C63" s="927">
        <f ca="1">C27</f>
        <v>3238.0952380952381</v>
      </c>
      <c r="D63" s="927">
        <f ca="1">D27</f>
        <v>3238.0952380952381</v>
      </c>
      <c r="E63" s="928">
        <f ca="1">E27</f>
        <v>3238.0952380952381</v>
      </c>
      <c r="F63" s="49"/>
      <c r="G63" s="49"/>
      <c r="H63" s="49"/>
      <c r="I63" s="49"/>
      <c r="J63" s="49"/>
      <c r="K63" s="49"/>
      <c r="L63" s="49"/>
      <c r="M63" s="49"/>
      <c r="N63" s="49"/>
      <c r="O63" s="49"/>
      <c r="P63" s="49"/>
      <c r="Q63" s="49"/>
      <c r="R63" s="49"/>
      <c r="S63" s="49"/>
      <c r="T63" s="49"/>
    </row>
    <row r="64" spans="1:20">
      <c r="A64" s="929" t="s">
        <v>740</v>
      </c>
      <c r="B64" s="930">
        <f ca="1">-B46</f>
        <v>-3628.0366261999998</v>
      </c>
      <c r="C64" s="930">
        <f ca="1">-C46</f>
        <v>-3628.0366261999998</v>
      </c>
      <c r="D64" s="930">
        <f ca="1">-D46</f>
        <v>-3628.0366261999998</v>
      </c>
      <c r="E64" s="931">
        <f ca="1">-E46</f>
        <v>-3628.0366261999998</v>
      </c>
      <c r="F64" s="49"/>
      <c r="G64" s="49"/>
      <c r="H64" s="49"/>
      <c r="I64" s="49"/>
      <c r="J64" s="49"/>
      <c r="K64" s="49"/>
      <c r="L64" s="49"/>
      <c r="M64" s="49"/>
      <c r="N64" s="49"/>
      <c r="O64" s="49"/>
      <c r="P64" s="49"/>
      <c r="Q64" s="49"/>
      <c r="R64" s="49"/>
      <c r="S64" s="49"/>
      <c r="T64" s="49"/>
    </row>
    <row r="65" spans="1:20">
      <c r="A65" s="844" t="s">
        <v>741</v>
      </c>
      <c r="B65" s="845">
        <f ca="1">MAX(0,B63+B64)</f>
        <v>0</v>
      </c>
      <c r="C65" s="845">
        <f ca="1">MAX(0,C63+C64)</f>
        <v>0</v>
      </c>
      <c r="D65" s="845">
        <f ca="1">MAX(0,D63+D64)</f>
        <v>0</v>
      </c>
      <c r="E65" s="846">
        <f ca="1">MAX(0,E63+E64)</f>
        <v>0</v>
      </c>
      <c r="F65" s="49"/>
      <c r="G65" s="49"/>
      <c r="H65" s="49"/>
      <c r="I65" s="49"/>
      <c r="J65" s="49"/>
      <c r="K65" s="49"/>
      <c r="L65" s="49"/>
      <c r="M65" s="49"/>
      <c r="N65" s="49"/>
      <c r="O65" s="49"/>
      <c r="P65" s="49"/>
      <c r="Q65" s="49"/>
      <c r="R65" s="49"/>
      <c r="S65" s="49"/>
      <c r="T65" s="49"/>
    </row>
    <row r="66" spans="1:20">
      <c r="A66" s="929" t="str">
        <f>CONCATENATE("Taux de ",TEXT($G$22,"0%")," de ",TEXT($H$22,"# ##0")," à ",TEXT($I$22,"# ##0"),"€")</f>
        <v>Taux de 25% de  0 à 15 820€</v>
      </c>
      <c r="B66" s="930">
        <f ca="1">MAX(0,MIN(B$65,$I$22)-$H$22)*$G$22</f>
        <v>0</v>
      </c>
      <c r="C66" s="930">
        <f ca="1">MAX(0,MIN(C$65,$I$22)-$H$22)*$G$22</f>
        <v>0</v>
      </c>
      <c r="D66" s="930">
        <f ca="1">MAX(0,MIN(D$65,$I$22)-$H$22)*$G$22</f>
        <v>0</v>
      </c>
      <c r="E66" s="931">
        <f ca="1">MAX(0,MIN(E$65,$I$22)-$H$22)*$G$22</f>
        <v>0</v>
      </c>
      <c r="F66" s="49"/>
      <c r="G66" s="49"/>
      <c r="H66" s="49"/>
      <c r="I66" s="49"/>
      <c r="J66" s="49"/>
      <c r="K66" s="49"/>
      <c r="L66" s="49"/>
      <c r="M66" s="49"/>
      <c r="N66" s="49"/>
      <c r="O66" s="49"/>
      <c r="P66" s="49"/>
      <c r="Q66" s="49"/>
      <c r="R66" s="49"/>
      <c r="S66" s="49"/>
      <c r="T66" s="49"/>
    </row>
    <row r="67" spans="1:20">
      <c r="A67" s="929" t="str">
        <f>CONCATENATE("Taux de ",TEXT($G$23,"0%")," de ",TEXT($H$23,"# ##0")," à ",TEXT($I$23,"# ##0"),"€")</f>
        <v>Taux de 40% de 15 820 à 27 920€</v>
      </c>
      <c r="B67" s="930">
        <f ca="1">MAX(0,MIN(B$65,$I$23)-$H$23)*$G$23</f>
        <v>0</v>
      </c>
      <c r="C67" s="930">
        <f ca="1">MAX(0,MIN(C$65,$I$23)-$H$23)*$G$23</f>
        <v>0</v>
      </c>
      <c r="D67" s="930">
        <f ca="1">MAX(0,MIN(D$65,$I$23)-$H$23)*$G$23</f>
        <v>0</v>
      </c>
      <c r="E67" s="931">
        <f ca="1">MAX(0,MIN(E$65,$I$23)-$H$23)*$G$23</f>
        <v>0</v>
      </c>
      <c r="F67" s="49"/>
      <c r="G67" s="49"/>
      <c r="H67" s="49"/>
      <c r="I67" s="49"/>
      <c r="J67" s="49"/>
      <c r="K67" s="49"/>
      <c r="L67" s="49"/>
      <c r="M67" s="49"/>
      <c r="N67" s="49"/>
      <c r="O67" s="49"/>
      <c r="P67" s="49"/>
      <c r="Q67" s="49"/>
      <c r="R67" s="49"/>
      <c r="S67" s="49"/>
      <c r="T67" s="49"/>
    </row>
    <row r="68" spans="1:20">
      <c r="A68" s="929" t="str">
        <f>CONCATENATE("Taux de ",TEXT($G$24,"0%")," de ",TEXT($H$24,"# ##0")," à ",TEXT($I$24,"# ##0"),"€")</f>
        <v>Taux de 45% de 27 920 à 48 320€</v>
      </c>
      <c r="B68" s="930">
        <f ca="1">MAX(0,MIN(B$65,$I$24)-$H$24)*$G$24</f>
        <v>0</v>
      </c>
      <c r="C68" s="930">
        <f ca="1">MAX(0,MIN(C$65,$I$24)-$H$24)*$G$24</f>
        <v>0</v>
      </c>
      <c r="D68" s="930">
        <f ca="1">MAX(0,MIN(D$65,$I$24)-$H$24)*$G$24</f>
        <v>0</v>
      </c>
      <c r="E68" s="931">
        <f ca="1">MAX(0,MIN(E$65,$I$24)-$H$24)*$G$24</f>
        <v>0</v>
      </c>
      <c r="F68" s="49"/>
      <c r="G68" s="49"/>
      <c r="H68" s="49"/>
      <c r="I68" s="49"/>
      <c r="J68" s="49"/>
      <c r="K68" s="49"/>
      <c r="L68" s="49"/>
      <c r="M68" s="49"/>
      <c r="N68" s="49"/>
      <c r="O68" s="49"/>
      <c r="P68" s="49"/>
      <c r="Q68" s="49"/>
      <c r="R68" s="49"/>
      <c r="S68" s="49"/>
      <c r="T68" s="49"/>
    </row>
    <row r="69" spans="1:20">
      <c r="A69" s="929" t="str">
        <f>CONCATENATE("Taux de ",TEXT($G$25,"0%")," au-delà de ",TEXT($H$25,"# ##0"),"€")</f>
        <v>Taux de 50% au-delà de 48 320€</v>
      </c>
      <c r="B69" s="930">
        <f ca="1">MAX(0,B$65-$H$25)*$G$25</f>
        <v>0</v>
      </c>
      <c r="C69" s="930">
        <f ca="1">MAX(0,C$65-$H$25)*$G$25</f>
        <v>0</v>
      </c>
      <c r="D69" s="930">
        <f ca="1">MAX(0,D$65-$H$25)*$G$25</f>
        <v>0</v>
      </c>
      <c r="E69" s="931">
        <f ca="1">MAX(0,E$65-$H$25)*$G$25</f>
        <v>0</v>
      </c>
      <c r="F69" s="49"/>
      <c r="G69" s="49"/>
      <c r="H69" s="49"/>
      <c r="I69" s="49"/>
      <c r="J69" s="49"/>
      <c r="K69" s="49"/>
      <c r="L69" s="49"/>
      <c r="M69" s="49"/>
      <c r="N69" s="49"/>
      <c r="O69" s="49"/>
      <c r="P69" s="49"/>
      <c r="Q69" s="49"/>
      <c r="R69" s="49"/>
      <c r="S69" s="49"/>
      <c r="T69" s="49"/>
    </row>
    <row r="70" spans="1:20">
      <c r="A70" s="929" t="s">
        <v>742</v>
      </c>
      <c r="B70" s="930">
        <f ca="1">SUM(B66:B69)</f>
        <v>0</v>
      </c>
      <c r="C70" s="930">
        <f ca="1">SUM(C66:C69)</f>
        <v>0</v>
      </c>
      <c r="D70" s="930">
        <f ca="1">SUM(D66:D69)</f>
        <v>0</v>
      </c>
      <c r="E70" s="931">
        <f ca="1">SUM(E66:E69)</f>
        <v>0</v>
      </c>
      <c r="F70" s="49"/>
      <c r="G70" s="49"/>
      <c r="H70" s="49"/>
      <c r="I70" s="49"/>
      <c r="J70" s="49"/>
      <c r="K70" s="49"/>
      <c r="L70" s="49"/>
      <c r="M70" s="49"/>
      <c r="N70" s="49"/>
      <c r="O70" s="49"/>
      <c r="P70" s="49"/>
      <c r="Q70" s="49"/>
      <c r="R70" s="49"/>
      <c r="S70" s="49"/>
      <c r="T70" s="49"/>
    </row>
    <row r="71" spans="1:20">
      <c r="A71" s="929" t="s">
        <v>743</v>
      </c>
      <c r="B71" s="930">
        <f>$G$28</f>
        <v>10570</v>
      </c>
      <c r="C71" s="930">
        <f>$G$28</f>
        <v>10570</v>
      </c>
      <c r="D71" s="930">
        <f>$G$28</f>
        <v>10570</v>
      </c>
      <c r="E71" s="931">
        <f>$G$28</f>
        <v>10570</v>
      </c>
      <c r="F71" s="49"/>
      <c r="G71" s="49"/>
      <c r="H71" s="49"/>
      <c r="I71" s="49"/>
      <c r="J71" s="49"/>
      <c r="K71" s="49"/>
      <c r="L71" s="49"/>
      <c r="M71" s="49"/>
      <c r="N71" s="49"/>
      <c r="O71" s="49"/>
      <c r="P71" s="49"/>
      <c r="Q71" s="49"/>
      <c r="R71" s="49"/>
      <c r="S71" s="49"/>
      <c r="T71" s="49"/>
    </row>
    <row r="72" spans="1:20">
      <c r="A72" s="853" t="s">
        <v>744</v>
      </c>
      <c r="B72" s="854">
        <v>0</v>
      </c>
      <c r="C72" s="854">
        <v>0</v>
      </c>
      <c r="D72" s="854">
        <v>0</v>
      </c>
      <c r="E72" s="855">
        <v>0</v>
      </c>
      <c r="F72" s="49"/>
      <c r="G72" s="49"/>
      <c r="H72" s="49"/>
      <c r="I72" s="49"/>
      <c r="J72" s="49"/>
      <c r="K72" s="49"/>
      <c r="L72" s="49"/>
      <c r="M72" s="49"/>
      <c r="N72" s="49"/>
      <c r="O72" s="49"/>
      <c r="P72" s="49"/>
      <c r="Q72" s="49"/>
      <c r="R72" s="49"/>
      <c r="S72" s="49"/>
      <c r="T72" s="49"/>
    </row>
    <row r="73" spans="1:20">
      <c r="A73" s="929" t="s">
        <v>745</v>
      </c>
      <c r="B73" s="930">
        <f>B71+B72</f>
        <v>10570</v>
      </c>
      <c r="C73" s="930">
        <f>C71+C72</f>
        <v>10570</v>
      </c>
      <c r="D73" s="930">
        <f>D71+D72</f>
        <v>10570</v>
      </c>
      <c r="E73" s="931">
        <f>E71+E72</f>
        <v>10570</v>
      </c>
      <c r="F73" s="49"/>
      <c r="G73" s="49"/>
      <c r="H73" s="49"/>
      <c r="I73" s="49"/>
      <c r="J73" s="49"/>
      <c r="K73" s="49"/>
      <c r="L73" s="49"/>
      <c r="M73" s="49"/>
      <c r="N73" s="49"/>
      <c r="O73" s="49"/>
      <c r="P73" s="49"/>
      <c r="Q73" s="49"/>
      <c r="R73" s="49"/>
      <c r="S73" s="49"/>
      <c r="T73" s="49"/>
    </row>
    <row r="74" spans="1:20">
      <c r="A74" s="929" t="s">
        <v>746</v>
      </c>
      <c r="B74" s="930">
        <f>MAX(0,MIN(B$73,$I$43)-$H$43)*$G$43+MAX(0,MIN(B$73,$I$44)-$H$44)*$G$44+MAX(0,MIN(B$73,$I$45)-$H$45)*$G$45+MAX(0,MIN(B$73,$I$46)-$H$46)*$G$46+MAX(0,B$73-$H$47)*$G$47</f>
        <v>2642.4974999999999</v>
      </c>
      <c r="C74" s="930">
        <f>MAX(0,MIN(C$73,$I$43)-$H$43)*$G$43+MAX(0,MIN(C$73,$I$44)-$H$44)*$G$44+MAX(0,MIN(C$73,$I$45)-$H$45)*$G$45+MAX(0,MIN(C$73,$I$46)-$H$46)*$G$46+MAX(0,C$73-$H$47)*$G$47</f>
        <v>2642.4974999999999</v>
      </c>
      <c r="D74" s="930">
        <f>MAX(0,MIN(D$73,$I$43)-$H$43)*$G$43+MAX(0,MIN(D$73,$I$44)-$H$44)*$G$44+MAX(0,MIN(D$73,$I$45)-$H$45)*$G$45+MAX(0,MIN(D$73,$I$46)-$H$46)*$G$46+MAX(0,D$73-$H$47)*$G$47</f>
        <v>2642.4974999999999</v>
      </c>
      <c r="E74" s="931">
        <f>MAX(0,MIN(E$73,$I$43)-$H$43)*$G$43+MAX(0,MIN(E$73,$I$44)-$H$44)*$G$44+MAX(0,MIN(E$73,$I$45)-$H$45)*$G$45+MAX(0,MIN(E$73,$I$46)-$H$46)*$G$46+MAX(0,E$73-$H$47)*$G$47</f>
        <v>2642.4974999999999</v>
      </c>
      <c r="F74" s="49"/>
      <c r="G74" s="49"/>
      <c r="H74" s="49"/>
      <c r="I74" s="49"/>
      <c r="J74" s="49"/>
      <c r="K74" s="49"/>
      <c r="L74" s="49"/>
      <c r="M74" s="49"/>
      <c r="N74" s="49"/>
      <c r="O74" s="49"/>
      <c r="P74" s="49"/>
      <c r="Q74" s="49"/>
      <c r="R74" s="49"/>
      <c r="S74" s="49"/>
      <c r="T74" s="49"/>
    </row>
    <row r="75" spans="1:20" ht="15" thickBot="1">
      <c r="A75" s="856" t="s">
        <v>748</v>
      </c>
      <c r="B75" s="857">
        <f ca="1">IF($B$22="Néant / non concerné",0,MAX(0,B70-B74))</f>
        <v>0</v>
      </c>
      <c r="C75" s="857">
        <f ca="1">IF($B$22="Néant / non concerné",0,MAX(0,C70-C74))</f>
        <v>0</v>
      </c>
      <c r="D75" s="857">
        <f ca="1">IF($B$22="Néant / non concerné",0,MAX(0,D70-D74))</f>
        <v>0</v>
      </c>
      <c r="E75" s="858">
        <f ca="1">IF($B$22="Néant / non concerné",0,MAX(0,E70-E74))</f>
        <v>0</v>
      </c>
      <c r="F75" s="49"/>
      <c r="G75" s="49"/>
      <c r="H75" s="49"/>
      <c r="I75" s="49"/>
      <c r="J75" s="49"/>
      <c r="K75" s="49"/>
      <c r="L75" s="49"/>
      <c r="M75" s="49"/>
      <c r="N75" s="49"/>
      <c r="O75" s="49"/>
      <c r="P75" s="49"/>
      <c r="Q75" s="49"/>
      <c r="R75" s="49"/>
      <c r="S75" s="49"/>
      <c r="T75" s="49"/>
    </row>
    <row r="76" spans="1:20">
      <c r="F76" s="49"/>
      <c r="G76" s="49"/>
      <c r="H76" s="49"/>
      <c r="I76" s="49"/>
      <c r="J76" s="49"/>
      <c r="K76" s="49"/>
      <c r="L76" s="49"/>
      <c r="M76" s="49"/>
      <c r="N76" s="49"/>
      <c r="O76" s="49"/>
      <c r="P76" s="49"/>
      <c r="Q76" s="49"/>
      <c r="R76" s="49"/>
      <c r="S76" s="49"/>
      <c r="T76" s="49"/>
    </row>
    <row r="77" spans="1:20" ht="15" thickBot="1">
      <c r="A77" s="812" t="s">
        <v>749</v>
      </c>
      <c r="B77" s="812"/>
      <c r="C77" s="812"/>
      <c r="D77" s="812"/>
      <c r="E77" s="812"/>
      <c r="F77" s="49"/>
      <c r="G77" s="49"/>
      <c r="H77" s="49"/>
      <c r="I77" s="49"/>
      <c r="J77" s="49"/>
      <c r="K77" s="49"/>
      <c r="L77" s="49"/>
      <c r="M77" s="49"/>
      <c r="N77" s="49"/>
      <c r="O77" s="49"/>
      <c r="P77" s="49"/>
      <c r="Q77" s="49"/>
      <c r="R77" s="49"/>
      <c r="S77" s="49"/>
      <c r="T77" s="49"/>
    </row>
    <row r="78" spans="1:20">
      <c r="A78" s="926" t="s">
        <v>750</v>
      </c>
      <c r="B78" s="927">
        <f ca="1">B37+B46</f>
        <v>10941.265197628571</v>
      </c>
      <c r="C78" s="927">
        <f ca="1">C37+C46</f>
        <v>17441.912816676188</v>
      </c>
      <c r="D78" s="927">
        <f ca="1">D37+D46</f>
        <v>17441.912816676188</v>
      </c>
      <c r="E78" s="928">
        <f ca="1">E37+E46</f>
        <v>17441.912816676188</v>
      </c>
      <c r="F78" s="49"/>
      <c r="G78" s="49"/>
      <c r="H78" s="49"/>
      <c r="I78" s="49"/>
      <c r="J78" s="49"/>
      <c r="K78" s="49"/>
      <c r="L78" s="49"/>
      <c r="M78" s="49"/>
      <c r="N78" s="49"/>
      <c r="O78" s="49"/>
      <c r="P78" s="49"/>
      <c r="Q78" s="49"/>
      <c r="R78" s="49"/>
      <c r="S78" s="49"/>
      <c r="T78" s="49"/>
    </row>
    <row r="79" spans="1:20">
      <c r="A79" s="929" t="s">
        <v>751</v>
      </c>
      <c r="B79" s="930">
        <f ca="1">B61+B75</f>
        <v>5773.4967857142856</v>
      </c>
      <c r="C79" s="930">
        <f ca="1">C61+C75</f>
        <v>16646.516785714284</v>
      </c>
      <c r="D79" s="930">
        <f ca="1">D61+D75</f>
        <v>16646.516785714284</v>
      </c>
      <c r="E79" s="931">
        <f ca="1">E61+E75</f>
        <v>16646.516785714284</v>
      </c>
      <c r="F79" s="49"/>
      <c r="G79" s="49"/>
      <c r="H79" s="49"/>
      <c r="I79" s="49"/>
      <c r="J79" s="49"/>
      <c r="K79" s="49"/>
      <c r="L79" s="49"/>
      <c r="M79" s="49"/>
      <c r="N79" s="49"/>
      <c r="O79" s="49"/>
      <c r="P79" s="49"/>
      <c r="Q79" s="49"/>
      <c r="R79" s="49"/>
      <c r="S79" s="49"/>
      <c r="T79" s="49"/>
    </row>
    <row r="80" spans="1:20">
      <c r="A80" s="844" t="s">
        <v>752</v>
      </c>
      <c r="B80" s="845">
        <f ca="1">B78+B79</f>
        <v>16714.761983342854</v>
      </c>
      <c r="C80" s="845">
        <f ca="1">C78+C79</f>
        <v>34088.429602390475</v>
      </c>
      <c r="D80" s="845">
        <f ca="1">D78+D79</f>
        <v>34088.429602390475</v>
      </c>
      <c r="E80" s="846">
        <f ca="1">E78+E79</f>
        <v>34088.429602390475</v>
      </c>
      <c r="F80" s="49"/>
      <c r="G80" s="49"/>
      <c r="H80" s="49"/>
      <c r="I80" s="49"/>
      <c r="J80" s="49"/>
      <c r="K80" s="49"/>
      <c r="L80" s="49"/>
      <c r="M80" s="49"/>
      <c r="N80" s="49"/>
      <c r="O80" s="49"/>
      <c r="P80" s="49"/>
      <c r="Q80" s="49"/>
      <c r="R80" s="49"/>
      <c r="S80" s="49"/>
      <c r="T80" s="49"/>
    </row>
    <row r="81" spans="1:20">
      <c r="A81" s="844" t="s">
        <v>753</v>
      </c>
      <c r="B81" s="845">
        <f ca="1">B16-B80</f>
        <v>19285.238016657146</v>
      </c>
      <c r="C81" s="845">
        <f ca="1">C16-C80</f>
        <v>33911.570397609525</v>
      </c>
      <c r="D81" s="845">
        <f ca="1">D16-D80</f>
        <v>33911.570397609525</v>
      </c>
      <c r="E81" s="846">
        <f ca="1">E16-E80</f>
        <v>33911.570397609525</v>
      </c>
      <c r="F81" s="49"/>
      <c r="G81" s="49"/>
      <c r="H81" s="49"/>
      <c r="I81" s="49"/>
      <c r="J81" s="49"/>
      <c r="K81" s="49"/>
      <c r="L81" s="49"/>
      <c r="M81" s="49"/>
      <c r="N81" s="49"/>
      <c r="O81" s="49"/>
      <c r="P81" s="49"/>
      <c r="Q81" s="49"/>
      <c r="R81" s="49"/>
      <c r="S81" s="49"/>
      <c r="T81" s="49"/>
    </row>
    <row r="82" spans="1:20" ht="15" thickBot="1">
      <c r="A82" s="856" t="s">
        <v>754</v>
      </c>
      <c r="B82" s="859">
        <f ca="1">IFERROR((-B15+B80)/B14,0)</f>
        <v>0.57143915518539679</v>
      </c>
      <c r="C82" s="859">
        <f ca="1">IFERROR((-C15+C80)/C14,0)</f>
        <v>0.60104034826341735</v>
      </c>
      <c r="D82" s="859">
        <f ca="1">IFERROR((-D15+D80)/D14,0)</f>
        <v>0.60104034826341735</v>
      </c>
      <c r="E82" s="860">
        <f ca="1">IFERROR((-E15+E80)/E14,0)</f>
        <v>0.60104034826341735</v>
      </c>
      <c r="F82" s="49"/>
      <c r="G82" s="49"/>
      <c r="H82" s="49"/>
      <c r="I82" s="49"/>
      <c r="J82" s="49"/>
      <c r="K82" s="49"/>
      <c r="L82" s="49"/>
      <c r="M82" s="49"/>
      <c r="N82" s="49"/>
      <c r="O82" s="49"/>
      <c r="P82" s="49"/>
      <c r="Q82" s="49"/>
      <c r="R82" s="49"/>
      <c r="S82" s="49"/>
      <c r="T82" s="49"/>
    </row>
    <row r="83" spans="1:20">
      <c r="F83" s="49"/>
      <c r="G83" s="49"/>
      <c r="H83" s="49"/>
      <c r="I83" s="49"/>
      <c r="J83" s="49"/>
      <c r="K83" s="49"/>
      <c r="L83" s="49"/>
      <c r="M83" s="49"/>
      <c r="N83" s="49"/>
      <c r="O83" s="49"/>
      <c r="P83" s="49"/>
      <c r="Q83" s="49"/>
      <c r="R83" s="49"/>
      <c r="S83" s="49"/>
      <c r="T83" s="49"/>
    </row>
    <row r="84" spans="1:20">
      <c r="F84" s="49"/>
      <c r="G84" s="49"/>
      <c r="H84" s="49"/>
      <c r="I84" s="49"/>
      <c r="J84" s="49"/>
      <c r="K84" s="49"/>
      <c r="L84" s="49"/>
      <c r="M84" s="49"/>
      <c r="N84" s="49"/>
      <c r="O84" s="49"/>
      <c r="P84" s="49"/>
      <c r="Q84" s="49"/>
      <c r="R84" s="49"/>
      <c r="S84" s="49"/>
      <c r="T84" s="49"/>
    </row>
    <row r="85" spans="1:20">
      <c r="F85" s="49"/>
      <c r="G85" s="49"/>
      <c r="H85" s="49"/>
      <c r="I85" s="49"/>
      <c r="J85" s="49"/>
      <c r="K85" s="49"/>
      <c r="L85" s="49"/>
      <c r="M85" s="49"/>
      <c r="N85" s="49"/>
      <c r="O85" s="49"/>
      <c r="P85" s="49"/>
      <c r="Q85" s="49"/>
      <c r="R85" s="49"/>
      <c r="S85" s="49"/>
      <c r="T85" s="49"/>
    </row>
    <row r="86" spans="1:20">
      <c r="F86" s="49"/>
      <c r="G86" s="49"/>
      <c r="H86" s="49"/>
      <c r="I86" s="49"/>
      <c r="J86" s="49"/>
      <c r="K86" s="49"/>
      <c r="L86" s="49"/>
      <c r="M86" s="49"/>
      <c r="N86" s="49"/>
      <c r="O86" s="49"/>
      <c r="P86" s="49"/>
      <c r="Q86" s="49"/>
      <c r="R86" s="49"/>
      <c r="S86" s="49"/>
      <c r="T86" s="49"/>
    </row>
    <row r="87" spans="1:20">
      <c r="F87" s="49"/>
      <c r="G87" s="49"/>
      <c r="H87" s="49"/>
      <c r="I87" s="49"/>
      <c r="J87" s="49"/>
      <c r="K87" s="49"/>
      <c r="L87" s="49"/>
      <c r="M87" s="49"/>
      <c r="N87" s="49"/>
      <c r="O87" s="49"/>
      <c r="P87" s="49"/>
      <c r="Q87" s="49"/>
      <c r="R87" s="49"/>
      <c r="S87" s="49"/>
      <c r="T87" s="49"/>
    </row>
    <row r="88" spans="1:20">
      <c r="F88" s="49"/>
      <c r="G88" s="49"/>
      <c r="H88" s="49"/>
      <c r="I88" s="49"/>
      <c r="J88" s="49"/>
      <c r="K88" s="49"/>
      <c r="L88" s="49"/>
      <c r="M88" s="49"/>
      <c r="N88" s="49"/>
      <c r="O88" s="49"/>
      <c r="P88" s="49"/>
      <c r="Q88" s="49"/>
      <c r="R88" s="49"/>
      <c r="S88" s="49"/>
      <c r="T88" s="49"/>
    </row>
    <row r="89" spans="1:20">
      <c r="F89" s="49"/>
      <c r="G89" s="49"/>
      <c r="H89" s="49"/>
      <c r="I89" s="49"/>
      <c r="J89" s="49"/>
      <c r="K89" s="49"/>
      <c r="L89" s="49"/>
      <c r="M89" s="49"/>
      <c r="N89" s="49"/>
      <c r="O89" s="49"/>
      <c r="P89" s="49"/>
      <c r="Q89" s="49"/>
      <c r="R89" s="49"/>
      <c r="S89" s="49"/>
      <c r="T89" s="49"/>
    </row>
    <row r="90" spans="1:20">
      <c r="F90" s="49"/>
      <c r="G90" s="49"/>
      <c r="H90" s="49"/>
      <c r="I90" s="49"/>
      <c r="J90" s="49"/>
      <c r="K90" s="49"/>
      <c r="L90" s="49"/>
      <c r="M90" s="49"/>
      <c r="N90" s="49"/>
      <c r="O90" s="49"/>
      <c r="P90" s="49"/>
      <c r="Q90" s="49"/>
      <c r="R90" s="49"/>
      <c r="S90" s="49"/>
      <c r="T90" s="49"/>
    </row>
    <row r="91" spans="1:20">
      <c r="F91" s="49"/>
      <c r="G91" s="49"/>
      <c r="H91" s="49"/>
      <c r="I91" s="49"/>
      <c r="J91" s="49"/>
      <c r="K91" s="49"/>
      <c r="L91" s="49"/>
      <c r="M91" s="49"/>
      <c r="N91" s="49"/>
      <c r="O91" s="49"/>
      <c r="P91" s="49"/>
      <c r="Q91" s="49"/>
      <c r="R91" s="49"/>
      <c r="S91" s="49"/>
      <c r="T91" s="49"/>
    </row>
    <row r="92" spans="1:20">
      <c r="F92" s="49"/>
      <c r="G92" s="49"/>
      <c r="H92" s="49"/>
      <c r="I92" s="49"/>
      <c r="J92" s="49"/>
      <c r="K92" s="49"/>
      <c r="L92" s="49"/>
      <c r="M92" s="49"/>
      <c r="N92" s="49"/>
      <c r="O92" s="49"/>
      <c r="P92" s="49"/>
      <c r="Q92" s="49"/>
      <c r="R92" s="49"/>
      <c r="S92" s="49"/>
      <c r="T92" s="49"/>
    </row>
    <row r="93" spans="1:20">
      <c r="F93" s="49"/>
      <c r="G93" s="49"/>
      <c r="H93" s="49"/>
      <c r="I93" s="49"/>
      <c r="J93" s="49"/>
      <c r="K93" s="49"/>
      <c r="L93" s="49"/>
      <c r="M93" s="49"/>
      <c r="N93" s="49"/>
      <c r="O93" s="49"/>
      <c r="P93" s="49"/>
      <c r="Q93" s="49"/>
      <c r="R93" s="49"/>
      <c r="S93" s="49"/>
      <c r="T93" s="49"/>
    </row>
    <row r="94" spans="1:20">
      <c r="F94" s="49"/>
      <c r="G94" s="49"/>
      <c r="H94" s="49"/>
      <c r="I94" s="49"/>
      <c r="J94" s="49"/>
      <c r="K94" s="49"/>
      <c r="L94" s="49"/>
      <c r="M94" s="49"/>
      <c r="N94" s="49"/>
      <c r="O94" s="49"/>
      <c r="P94" s="49"/>
      <c r="Q94" s="49"/>
      <c r="R94" s="49"/>
      <c r="S94" s="49"/>
      <c r="T94" s="49"/>
    </row>
    <row r="95" spans="1:20">
      <c r="F95" s="49"/>
      <c r="G95" s="49"/>
      <c r="H95" s="49"/>
      <c r="I95" s="49"/>
      <c r="J95" s="49"/>
      <c r="K95" s="49"/>
      <c r="L95" s="49"/>
      <c r="M95" s="49"/>
      <c r="N95" s="49"/>
      <c r="O95" s="49"/>
      <c r="P95" s="49"/>
      <c r="Q95" s="49"/>
      <c r="R95" s="49"/>
      <c r="S95" s="49"/>
      <c r="T95" s="49"/>
    </row>
    <row r="96" spans="1:20">
      <c r="F96" s="49"/>
      <c r="G96" s="49"/>
      <c r="H96" s="49"/>
      <c r="I96" s="49"/>
      <c r="J96" s="49"/>
      <c r="K96" s="49"/>
      <c r="L96" s="49"/>
      <c r="M96" s="49"/>
      <c r="N96" s="49"/>
      <c r="O96" s="49"/>
      <c r="P96" s="49"/>
      <c r="Q96" s="49"/>
      <c r="R96" s="49"/>
      <c r="S96" s="49"/>
      <c r="T96" s="49"/>
    </row>
    <row r="97" spans="6:20">
      <c r="F97" s="49"/>
      <c r="G97" s="49"/>
      <c r="H97" s="49"/>
      <c r="I97" s="49"/>
      <c r="J97" s="49"/>
      <c r="K97" s="49"/>
      <c r="L97" s="49"/>
      <c r="M97" s="49"/>
      <c r="N97" s="49"/>
      <c r="O97" s="49"/>
      <c r="P97" s="49"/>
      <c r="Q97" s="49"/>
      <c r="R97" s="49"/>
      <c r="S97" s="49"/>
      <c r="T97" s="49"/>
    </row>
  </sheetData>
  <sheetProtection algorithmName="SHA-512" hashValue="5Mec/Tnjd3T+EF5gK2oAka75T95JzV1NRi5VVV0F1o4yAAy5tKzNdaihvvGo9i4rtzbDx26Qd49xcWFCu8Hrtw==" saltValue="QjGJcy0orm2AsrbD64SMdA==" spinCount="100000" sheet="1" objects="1" scenarios="1" formatCells="0" formatColumns="0" formatRows="0" insertRows="0" insertHyperlinks="0" sort="0" autoFilter="0" pivotTables="0"/>
  <mergeCells count="26">
    <mergeCell ref="A48:E48"/>
    <mergeCell ref="A77:E77"/>
    <mergeCell ref="A11:E12"/>
    <mergeCell ref="A29:E29"/>
    <mergeCell ref="H52:I52"/>
    <mergeCell ref="H39:J39"/>
    <mergeCell ref="H40:J40"/>
    <mergeCell ref="H42:I42"/>
    <mergeCell ref="G51:I51"/>
    <mergeCell ref="H38:J38"/>
    <mergeCell ref="G18:H19"/>
    <mergeCell ref="I18:I19"/>
    <mergeCell ref="J18:J19"/>
    <mergeCell ref="H21:I21"/>
    <mergeCell ref="G27:I27"/>
    <mergeCell ref="G28:G29"/>
    <mergeCell ref="H28:I29"/>
    <mergeCell ref="G31:J31"/>
    <mergeCell ref="H36:J36"/>
    <mergeCell ref="H37:J37"/>
    <mergeCell ref="G6:J6"/>
    <mergeCell ref="H8:I8"/>
    <mergeCell ref="G15:H17"/>
    <mergeCell ref="I15:I17"/>
    <mergeCell ref="J15:J17"/>
    <mergeCell ref="A10:E10"/>
  </mergeCells>
  <phoneticPr fontId="25" type="noConversion"/>
  <hyperlinks>
    <hyperlink ref="H40" r:id="rId1" display="javascript: void(openDocument('49e6dbbd-ef6e-4be0-84fe-147218be9db0'));" xr:uid="{1C7632B7-A9EB-4996-9C82-F94C6A0AE937}"/>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B6DE5-011D-40DE-838F-4F71421D0E15}">
  <dimension ref="A1:E35"/>
  <sheetViews>
    <sheetView topLeftCell="A12" workbookViewId="0">
      <selection activeCell="D14" sqref="D14"/>
    </sheetView>
  </sheetViews>
  <sheetFormatPr baseColWidth="10" defaultRowHeight="14.4"/>
  <cols>
    <col min="1" max="1" width="68" style="47" bestFit="1" customWidth="1"/>
    <col min="2" max="2" width="23.44140625" style="47" bestFit="1" customWidth="1"/>
    <col min="3" max="3" width="10.5546875" style="47" customWidth="1"/>
    <col min="4" max="5" width="11.5546875" style="47" customWidth="1"/>
    <col min="6" max="16384" width="11.5546875" style="47"/>
  </cols>
  <sheetData>
    <row r="1" spans="1:5" ht="18">
      <c r="A1" s="934" t="s">
        <v>757</v>
      </c>
    </row>
    <row r="3" spans="1:5" ht="15" thickBot="1">
      <c r="A3" s="812" t="s">
        <v>758</v>
      </c>
      <c r="B3" s="812"/>
      <c r="C3" s="812"/>
      <c r="D3" s="812"/>
      <c r="E3" s="812"/>
    </row>
    <row r="4" spans="1:5">
      <c r="A4" s="935" t="s">
        <v>759</v>
      </c>
      <c r="B4" s="936">
        <v>38</v>
      </c>
    </row>
    <row r="5" spans="1:5">
      <c r="A5" s="853" t="s">
        <v>775</v>
      </c>
      <c r="B5" s="937">
        <v>46</v>
      </c>
    </row>
    <row r="6" spans="1:5" ht="15" thickBot="1">
      <c r="A6" s="856" t="s">
        <v>760</v>
      </c>
      <c r="B6" s="938">
        <f>B4*B5</f>
        <v>1748</v>
      </c>
    </row>
    <row r="7" spans="1:5">
      <c r="A7" s="439"/>
    </row>
    <row r="8" spans="1:5">
      <c r="A8" s="941" t="s">
        <v>718</v>
      </c>
      <c r="B8" s="942">
        <f>'14. CALCUL IMPOT'!B13</f>
        <v>2024</v>
      </c>
      <c r="C8" s="942">
        <f>'14. CALCUL IMPOT'!C13</f>
        <v>2025</v>
      </c>
      <c r="D8" s="942">
        <f>'14. CALCUL IMPOT'!D13</f>
        <v>2026</v>
      </c>
      <c r="E8" s="942">
        <f>'14. CALCUL IMPOT'!E13</f>
        <v>2027</v>
      </c>
    </row>
    <row r="9" spans="1:5">
      <c r="A9" s="439"/>
    </row>
    <row r="10" spans="1:5" ht="15" thickBot="1">
      <c r="A10" s="812" t="s">
        <v>761</v>
      </c>
      <c r="B10" s="812"/>
      <c r="C10" s="812"/>
      <c r="D10" s="812"/>
      <c r="E10" s="812"/>
    </row>
    <row r="11" spans="1:5">
      <c r="A11" s="926" t="s">
        <v>762</v>
      </c>
      <c r="B11" s="943" t="str">
        <f>'14. CALCUL IMPOT'!$B$21</f>
        <v>Indépendant à titre principal</v>
      </c>
      <c r="C11" s="943"/>
      <c r="D11" s="943"/>
      <c r="E11" s="944"/>
    </row>
    <row r="12" spans="1:5">
      <c r="A12" s="929" t="s">
        <v>763</v>
      </c>
      <c r="B12" s="945">
        <f>'14. CALCUL IMPOT'!B18</f>
        <v>1</v>
      </c>
      <c r="C12" s="945">
        <f>'14. CALCUL IMPOT'!C18</f>
        <v>1</v>
      </c>
      <c r="D12" s="945">
        <f>'14. CALCUL IMPOT'!D18</f>
        <v>1</v>
      </c>
      <c r="E12" s="946">
        <f>'14. CALCUL IMPOT'!E18</f>
        <v>1</v>
      </c>
    </row>
    <row r="13" spans="1:5">
      <c r="A13" s="929" t="s">
        <v>764</v>
      </c>
      <c r="B13" s="947">
        <f>B12*$B$6</f>
        <v>1748</v>
      </c>
      <c r="C13" s="947">
        <f>C12*$B$6</f>
        <v>1748</v>
      </c>
      <c r="D13" s="947">
        <f>D12*$B$6</f>
        <v>1748</v>
      </c>
      <c r="E13" s="948">
        <f>E12*$B$6</f>
        <v>1748</v>
      </c>
    </row>
    <row r="14" spans="1:5">
      <c r="A14" s="929" t="s">
        <v>765</v>
      </c>
      <c r="B14" s="930">
        <f ca="1">'14. CALCUL IMPOT'!B26</f>
        <v>34285.714285714283</v>
      </c>
      <c r="C14" s="930">
        <f ca="1">'14. CALCUL IMPOT'!C26</f>
        <v>64761.904761904763</v>
      </c>
      <c r="D14" s="930">
        <f ca="1">'14. CALCUL IMPOT'!D26</f>
        <v>64761.904761904763</v>
      </c>
      <c r="E14" s="931">
        <f ca="1">'14. CALCUL IMPOT'!E26</f>
        <v>64761.904761904763</v>
      </c>
    </row>
    <row r="15" spans="1:5">
      <c r="A15" s="929" t="s">
        <v>740</v>
      </c>
      <c r="B15" s="930">
        <f ca="1">-'14. CALCUL IMPOT'!B37</f>
        <v>-7313.2285714285699</v>
      </c>
      <c r="C15" s="930">
        <f ca="1">-'14. CALCUL IMPOT'!C37</f>
        <v>-13813.876190476189</v>
      </c>
      <c r="D15" s="930">
        <f ca="1">-'14. CALCUL IMPOT'!D37</f>
        <v>-13813.876190476189</v>
      </c>
      <c r="E15" s="931">
        <f ca="1">-'14. CALCUL IMPOT'!E37</f>
        <v>-13813.876190476189</v>
      </c>
    </row>
    <row r="16" spans="1:5">
      <c r="A16" s="929" t="s">
        <v>766</v>
      </c>
      <c r="B16" s="930">
        <f ca="1">-'14. CALCUL IMPOT'!B61</f>
        <v>-5773.4967857142856</v>
      </c>
      <c r="C16" s="930">
        <f ca="1">-'14. CALCUL IMPOT'!C61</f>
        <v>-16646.516785714284</v>
      </c>
      <c r="D16" s="930">
        <f ca="1">-'14. CALCUL IMPOT'!D61</f>
        <v>-16646.516785714284</v>
      </c>
      <c r="E16" s="931">
        <f ca="1">-'14. CALCUL IMPOT'!E61</f>
        <v>-16646.516785714284</v>
      </c>
    </row>
    <row r="17" spans="1:5">
      <c r="A17" s="844" t="s">
        <v>767</v>
      </c>
      <c r="B17" s="845">
        <f ca="1">SUM(B14:B16)</f>
        <v>21198.988928571431</v>
      </c>
      <c r="C17" s="845">
        <f ca="1">SUM(C14:C16)</f>
        <v>34301.51178571429</v>
      </c>
      <c r="D17" s="845">
        <f ca="1">SUM(D14:D16)</f>
        <v>34301.51178571429</v>
      </c>
      <c r="E17" s="846">
        <f ca="1">SUM(E14:E16)</f>
        <v>34301.51178571429</v>
      </c>
    </row>
    <row r="18" spans="1:5">
      <c r="A18" s="929" t="s">
        <v>768</v>
      </c>
      <c r="B18" s="930">
        <f ca="1">B17/12</f>
        <v>1766.582410714286</v>
      </c>
      <c r="C18" s="930">
        <f ca="1">C17/12</f>
        <v>2858.459315476191</v>
      </c>
      <c r="D18" s="930">
        <f ca="1">D17/12</f>
        <v>2858.459315476191</v>
      </c>
      <c r="E18" s="931">
        <f ca="1">E17/12</f>
        <v>2858.459315476191</v>
      </c>
    </row>
    <row r="19" spans="1:5" ht="15" thickBot="1">
      <c r="A19" s="856" t="s">
        <v>769</v>
      </c>
      <c r="B19" s="939">
        <f ca="1">IFERROR(B17/B13,0)</f>
        <v>12.127568036940177</v>
      </c>
      <c r="C19" s="939">
        <f ca="1">IFERROR(C17/C13,0)</f>
        <v>19.623290495259891</v>
      </c>
      <c r="D19" s="939">
        <f ca="1">IFERROR(D17/D13,0)</f>
        <v>19.623290495259891</v>
      </c>
      <c r="E19" s="940">
        <f ca="1">IFERROR(E17/E13,0)</f>
        <v>19.623290495259891</v>
      </c>
    </row>
    <row r="20" spans="1:5">
      <c r="A20" s="439"/>
    </row>
    <row r="21" spans="1:5" ht="15" thickBot="1">
      <c r="A21" s="812" t="s">
        <v>770</v>
      </c>
      <c r="B21" s="812"/>
      <c r="C21" s="812"/>
      <c r="D21" s="812"/>
      <c r="E21" s="812"/>
    </row>
    <row r="22" spans="1:5">
      <c r="A22" s="926" t="s">
        <v>762</v>
      </c>
      <c r="B22" s="943" t="str">
        <f>'14. CALCUL IMPOT'!$B$22</f>
        <v>Conjoint aidant (maxi-statut)</v>
      </c>
      <c r="C22" s="943"/>
      <c r="D22" s="943"/>
      <c r="E22" s="944"/>
    </row>
    <row r="23" spans="1:5">
      <c r="A23" s="929" t="s">
        <v>763</v>
      </c>
      <c r="B23" s="945">
        <f>'14. CALCUL IMPOT'!B19</f>
        <v>0.05</v>
      </c>
      <c r="C23" s="945">
        <f>'14. CALCUL IMPOT'!C19</f>
        <v>0.05</v>
      </c>
      <c r="D23" s="945">
        <f>'14. CALCUL IMPOT'!D19</f>
        <v>0.05</v>
      </c>
      <c r="E23" s="946">
        <f>'14. CALCUL IMPOT'!E19</f>
        <v>0.05</v>
      </c>
    </row>
    <row r="24" spans="1:5">
      <c r="A24" s="929" t="s">
        <v>764</v>
      </c>
      <c r="B24" s="947">
        <f>B23*$B$6</f>
        <v>87.4</v>
      </c>
      <c r="C24" s="947">
        <f>C23*$B$6</f>
        <v>87.4</v>
      </c>
      <c r="D24" s="947">
        <f>D23*$B$6</f>
        <v>87.4</v>
      </c>
      <c r="E24" s="948">
        <f>E23*$B$6</f>
        <v>87.4</v>
      </c>
    </row>
    <row r="25" spans="1:5">
      <c r="A25" s="929" t="s">
        <v>765</v>
      </c>
      <c r="B25" s="930">
        <f ca="1">'14. CALCUL IMPOT'!B27</f>
        <v>1714.2857142857142</v>
      </c>
      <c r="C25" s="930">
        <f ca="1">'14. CALCUL IMPOT'!C27</f>
        <v>3238.0952380952381</v>
      </c>
      <c r="D25" s="930">
        <f ca="1">'14. CALCUL IMPOT'!D27</f>
        <v>3238.0952380952381</v>
      </c>
      <c r="E25" s="931">
        <f ca="1">'14. CALCUL IMPOT'!E27</f>
        <v>3238.0952380952381</v>
      </c>
    </row>
    <row r="26" spans="1:5">
      <c r="A26" s="929" t="s">
        <v>740</v>
      </c>
      <c r="B26" s="930">
        <f ca="1">-'14. CALCUL IMPOT'!B46</f>
        <v>-3628.0366261999998</v>
      </c>
      <c r="C26" s="930">
        <f ca="1">-'14. CALCUL IMPOT'!C46</f>
        <v>-3628.0366261999998</v>
      </c>
      <c r="D26" s="930">
        <f ca="1">-'14. CALCUL IMPOT'!D46</f>
        <v>-3628.0366261999998</v>
      </c>
      <c r="E26" s="931">
        <f ca="1">-'14. CALCUL IMPOT'!E46</f>
        <v>-3628.0366261999998</v>
      </c>
    </row>
    <row r="27" spans="1:5">
      <c r="A27" s="929" t="s">
        <v>766</v>
      </c>
      <c r="B27" s="930">
        <f ca="1">-'14. CALCUL IMPOT'!B75</f>
        <v>0</v>
      </c>
      <c r="C27" s="930">
        <f ca="1">-'14. CALCUL IMPOT'!C75</f>
        <v>0</v>
      </c>
      <c r="D27" s="930">
        <f ca="1">-'14. CALCUL IMPOT'!D75</f>
        <v>0</v>
      </c>
      <c r="E27" s="931">
        <f ca="1">-'14. CALCUL IMPOT'!E75</f>
        <v>0</v>
      </c>
    </row>
    <row r="28" spans="1:5">
      <c r="A28" s="844" t="s">
        <v>767</v>
      </c>
      <c r="B28" s="845">
        <f ca="1">SUM(B25:B27)</f>
        <v>-1913.7509119142856</v>
      </c>
      <c r="C28" s="845">
        <f ca="1">SUM(C25:C27)</f>
        <v>-389.9413881047617</v>
      </c>
      <c r="D28" s="845">
        <f ca="1">SUM(D25:D27)</f>
        <v>-389.9413881047617</v>
      </c>
      <c r="E28" s="846">
        <f ca="1">SUM(E25:E27)</f>
        <v>-389.9413881047617</v>
      </c>
    </row>
    <row r="29" spans="1:5">
      <c r="A29" s="929" t="s">
        <v>768</v>
      </c>
      <c r="B29" s="930">
        <f ca="1">B28/12</f>
        <v>-159.47924265952381</v>
      </c>
      <c r="C29" s="930">
        <f ca="1">C28/12</f>
        <v>-32.495115675396811</v>
      </c>
      <c r="D29" s="930">
        <f ca="1">D28/12</f>
        <v>-32.495115675396811</v>
      </c>
      <c r="E29" s="931">
        <f ca="1">E28/12</f>
        <v>-32.495115675396811</v>
      </c>
    </row>
    <row r="30" spans="1:5" ht="15" thickBot="1">
      <c r="A30" s="856" t="s">
        <v>769</v>
      </c>
      <c r="B30" s="939">
        <f ca="1">IFERROR(B28/B24,0)</f>
        <v>-21.896463523046744</v>
      </c>
      <c r="C30" s="939">
        <f ca="1">IFERROR(C28/C24,0)</f>
        <v>-4.4615719462787373</v>
      </c>
      <c r="D30" s="939">
        <f ca="1">IFERROR(D28/D24,0)</f>
        <v>-4.4615719462787373</v>
      </c>
      <c r="E30" s="940">
        <f ca="1">IFERROR(E28/E24,0)</f>
        <v>-4.4615719462787373</v>
      </c>
    </row>
    <row r="31" spans="1:5">
      <c r="A31" s="439"/>
    </row>
    <row r="32" spans="1:5" ht="15" thickBot="1">
      <c r="A32" s="812" t="s">
        <v>771</v>
      </c>
      <c r="B32" s="812"/>
      <c r="C32" s="812"/>
      <c r="D32" s="812"/>
      <c r="E32" s="812"/>
    </row>
    <row r="33" spans="1:5">
      <c r="A33" s="926" t="s">
        <v>772</v>
      </c>
      <c r="B33" s="949">
        <f>B13+B24</f>
        <v>1835.4</v>
      </c>
      <c r="C33" s="949">
        <f>C13+C24</f>
        <v>1835.4</v>
      </c>
      <c r="D33" s="949">
        <f>D13+D24</f>
        <v>1835.4</v>
      </c>
      <c r="E33" s="950">
        <f>E13+E24</f>
        <v>1835.4</v>
      </c>
    </row>
    <row r="34" spans="1:5">
      <c r="A34" s="929" t="s">
        <v>773</v>
      </c>
      <c r="B34" s="930">
        <f ca="1">B17+B28</f>
        <v>19285.238016657146</v>
      </c>
      <c r="C34" s="930">
        <f ca="1">C17+C28</f>
        <v>33911.570397609532</v>
      </c>
      <c r="D34" s="930">
        <f ca="1">D17+D28</f>
        <v>33911.570397609532</v>
      </c>
      <c r="E34" s="931">
        <f ca="1">E17+E28</f>
        <v>33911.570397609532</v>
      </c>
    </row>
    <row r="35" spans="1:5" ht="15" thickBot="1">
      <c r="A35" s="856" t="s">
        <v>774</v>
      </c>
      <c r="B35" s="939">
        <f ca="1">IFERROR(B34/B33,0)</f>
        <v>10.507376057893181</v>
      </c>
      <c r="C35" s="939">
        <f ca="1">IFERROR(C34/C33,0)</f>
        <v>18.476392283758052</v>
      </c>
      <c r="D35" s="939">
        <f ca="1">IFERROR(D34/D33,0)</f>
        <v>18.476392283758052</v>
      </c>
      <c r="E35" s="940">
        <f ca="1">IFERROR(E34/E33,0)</f>
        <v>18.476392283758052</v>
      </c>
    </row>
  </sheetData>
  <sheetProtection algorithmName="SHA-512" hashValue="vmhr/a8a3QwXxt/2dxW6MAYMZ/Bd1KslVlVMsKkPhSKjKiZx35EZeOx9YH+eeTW2zXgCxI56c8xcEQyA3iaq5g==" saltValue="YuTvgXH2FOTA1c1ryt3vAQ==" spinCount="100000" sheet="1" objects="1" scenarios="1" formatCells="0" formatColumns="0" formatRows="0" insertRows="0" insertHyperlinks="0" sort="0" autoFilter="0" pivotTables="0"/>
  <mergeCells count="4">
    <mergeCell ref="A3:E3"/>
    <mergeCell ref="A10:E10"/>
    <mergeCell ref="A21:E21"/>
    <mergeCell ref="A32:E3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F5ADB-384E-4A81-BE5A-35BDE379AC4F}">
  <sheetPr>
    <pageSetUpPr fitToPage="1"/>
  </sheetPr>
  <dimension ref="B1:Q78"/>
  <sheetViews>
    <sheetView showGridLines="0" zoomScale="145" zoomScaleNormal="145" workbookViewId="0">
      <selection activeCell="G46" sqref="G46"/>
    </sheetView>
  </sheetViews>
  <sheetFormatPr baseColWidth="10" defaultColWidth="11.44140625" defaultRowHeight="13.2"/>
  <cols>
    <col min="1" max="1" width="1.44140625" style="219" customWidth="1"/>
    <col min="2" max="2" width="23.109375" style="219" customWidth="1"/>
    <col min="3" max="3" width="20" style="219" customWidth="1"/>
    <col min="4" max="4" width="19" style="219" customWidth="1"/>
    <col min="5" max="5" width="13.6640625" style="219" bestFit="1" customWidth="1"/>
    <col min="6" max="6" width="23.21875" style="219" customWidth="1"/>
    <col min="7" max="7" width="14.5546875" style="219" customWidth="1"/>
    <col min="8" max="8" width="14.109375" style="219" customWidth="1"/>
    <col min="9" max="9" width="17.33203125" style="219" customWidth="1"/>
    <col min="10" max="10" width="16.6640625" style="219" customWidth="1"/>
    <col min="11" max="11" width="12.109375" style="219" customWidth="1"/>
    <col min="12" max="16384" width="11.44140625" style="219"/>
  </cols>
  <sheetData>
    <row r="1" spans="2:11" ht="47.25" customHeight="1">
      <c r="B1" s="216" t="s">
        <v>37</v>
      </c>
      <c r="C1" s="217"/>
      <c r="D1" s="217"/>
      <c r="E1" s="217"/>
      <c r="F1" s="217"/>
      <c r="G1" s="217"/>
      <c r="H1" s="217"/>
      <c r="I1" s="217"/>
      <c r="J1" s="218"/>
    </row>
    <row r="2" spans="2:11" ht="16.2" customHeight="1">
      <c r="B2" s="220" t="s">
        <v>39</v>
      </c>
      <c r="C2" s="221" t="s">
        <v>40</v>
      </c>
      <c r="D2" s="222"/>
      <c r="E2" s="223"/>
      <c r="F2" s="217"/>
      <c r="G2" s="217"/>
      <c r="H2" s="217"/>
      <c r="I2" s="217"/>
    </row>
    <row r="3" spans="2:11" ht="18.75" customHeight="1">
      <c r="B3" s="220" t="s">
        <v>23</v>
      </c>
      <c r="C3" s="221" t="s">
        <v>288</v>
      </c>
      <c r="D3" s="222"/>
      <c r="E3" s="223"/>
      <c r="F3" s="217"/>
      <c r="G3" s="217"/>
      <c r="H3" s="217"/>
      <c r="I3" s="217"/>
    </row>
    <row r="4" spans="2:11" ht="18.75" customHeight="1">
      <c r="B4" s="224"/>
      <c r="C4" s="217"/>
      <c r="D4" s="217"/>
      <c r="F4" s="217"/>
      <c r="G4" s="217"/>
      <c r="H4" s="434" t="s">
        <v>287</v>
      </c>
      <c r="I4" s="434"/>
      <c r="J4" s="434"/>
    </row>
    <row r="5" spans="2:11" ht="19.95" customHeight="1">
      <c r="B5" s="220" t="s">
        <v>265</v>
      </c>
      <c r="C5" s="225"/>
      <c r="D5" s="226">
        <v>50</v>
      </c>
      <c r="E5" s="227"/>
      <c r="F5" s="228"/>
      <c r="G5" s="229"/>
      <c r="H5" s="435" t="s">
        <v>266</v>
      </c>
      <c r="I5" s="428"/>
      <c r="J5" s="428"/>
    </row>
    <row r="6" spans="2:11" ht="19.95" customHeight="1">
      <c r="B6" s="220" t="s">
        <v>267</v>
      </c>
      <c r="C6" s="225"/>
      <c r="D6" s="230">
        <v>0.2</v>
      </c>
      <c r="E6" s="227"/>
      <c r="F6" s="228"/>
      <c r="G6" s="229"/>
      <c r="H6" s="428"/>
      <c r="I6" s="428"/>
      <c r="J6" s="428"/>
    </row>
    <row r="7" spans="2:11" ht="19.95" customHeight="1">
      <c r="B7" s="220" t="s">
        <v>35</v>
      </c>
      <c r="C7" s="225"/>
      <c r="D7" s="965">
        <f>D5/D6</f>
        <v>250</v>
      </c>
      <c r="E7" s="227"/>
      <c r="F7" s="228"/>
      <c r="G7" s="229"/>
      <c r="H7" s="428"/>
      <c r="I7" s="428"/>
      <c r="J7" s="428"/>
    </row>
    <row r="8" spans="2:11" ht="19.95" customHeight="1">
      <c r="B8" s="220" t="s">
        <v>36</v>
      </c>
      <c r="C8" s="225"/>
      <c r="D8" s="230">
        <v>225</v>
      </c>
      <c r="E8" s="227"/>
      <c r="F8" s="228"/>
      <c r="G8" s="229"/>
      <c r="H8" s="428" t="s">
        <v>268</v>
      </c>
      <c r="I8" s="428"/>
      <c r="J8" s="428"/>
    </row>
    <row r="9" spans="2:11" ht="19.95" customHeight="1">
      <c r="B9" s="220" t="s">
        <v>34</v>
      </c>
      <c r="C9" s="225"/>
      <c r="D9" s="4">
        <f>1-(D8/D7)</f>
        <v>9.9999999999999978E-2</v>
      </c>
      <c r="E9" s="227"/>
      <c r="F9" s="228"/>
      <c r="G9" s="229"/>
      <c r="H9" s="428" t="s">
        <v>269</v>
      </c>
      <c r="I9" s="428"/>
      <c r="J9" s="428"/>
    </row>
    <row r="10" spans="2:11" ht="19.95" customHeight="1">
      <c r="B10" s="220" t="s">
        <v>25</v>
      </c>
      <c r="C10" s="225"/>
      <c r="D10" s="231">
        <v>4.0599999999999996</v>
      </c>
      <c r="E10" s="220" t="s">
        <v>32</v>
      </c>
      <c r="F10" s="232"/>
      <c r="G10" s="966">
        <f>G12/(1+G11)</f>
        <v>4.6698113207547172</v>
      </c>
      <c r="H10" s="428"/>
      <c r="I10" s="428"/>
      <c r="J10" s="428"/>
    </row>
    <row r="11" spans="2:11" ht="19.95" customHeight="1">
      <c r="B11" s="220" t="s">
        <v>3</v>
      </c>
      <c r="C11" s="225"/>
      <c r="D11" s="233">
        <v>0.06</v>
      </c>
      <c r="E11" s="220" t="s">
        <v>3</v>
      </c>
      <c r="F11" s="232"/>
      <c r="G11" s="234">
        <v>0.06</v>
      </c>
      <c r="H11" s="428"/>
      <c r="I11" s="428"/>
      <c r="J11" s="428"/>
    </row>
    <row r="12" spans="2:11" ht="19.95" customHeight="1">
      <c r="B12" s="220" t="s">
        <v>33</v>
      </c>
      <c r="C12" s="225"/>
      <c r="D12" s="967">
        <f>D10*(1+D11)</f>
        <v>4.3035999999999994</v>
      </c>
      <c r="E12" s="220" t="s">
        <v>24</v>
      </c>
      <c r="F12" s="232"/>
      <c r="G12" s="235">
        <v>4.95</v>
      </c>
      <c r="H12" s="428"/>
      <c r="I12" s="428"/>
      <c r="J12" s="428"/>
    </row>
    <row r="13" spans="2:11" ht="19.95" customHeight="1">
      <c r="B13" s="220" t="s">
        <v>270</v>
      </c>
      <c r="C13" s="225"/>
      <c r="D13" s="4">
        <f>G10/D10-1</f>
        <v>0.15019983269820636</v>
      </c>
      <c r="E13" s="236"/>
      <c r="F13" s="236"/>
      <c r="G13" s="236"/>
      <c r="H13" s="428" t="s">
        <v>271</v>
      </c>
      <c r="I13" s="428"/>
      <c r="J13" s="428"/>
    </row>
    <row r="14" spans="2:11" ht="18.75" customHeight="1">
      <c r="B14" s="236"/>
      <c r="C14" s="236"/>
      <c r="D14" s="236"/>
      <c r="E14" s="236"/>
      <c r="F14" s="236"/>
      <c r="G14" s="236"/>
      <c r="H14" s="236"/>
      <c r="I14" s="236"/>
    </row>
    <row r="15" spans="2:11" ht="6.75" customHeight="1" thickBot="1"/>
    <row r="16" spans="2:11" s="951" customFormat="1" ht="45" customHeight="1">
      <c r="B16" s="237" t="s">
        <v>4</v>
      </c>
      <c r="C16" s="238" t="s">
        <v>5</v>
      </c>
      <c r="D16" s="239" t="s">
        <v>6</v>
      </c>
      <c r="E16" s="239" t="s">
        <v>7</v>
      </c>
      <c r="F16" s="239" t="s">
        <v>8</v>
      </c>
      <c r="G16" s="239" t="s">
        <v>281</v>
      </c>
      <c r="H16" s="240" t="s">
        <v>30</v>
      </c>
      <c r="I16" s="429" t="s">
        <v>22</v>
      </c>
      <c r="J16" s="429"/>
      <c r="K16" s="430"/>
    </row>
    <row r="17" spans="2:11" s="252" customFormat="1" ht="17.25" customHeight="1">
      <c r="B17" s="208" t="s">
        <v>14</v>
      </c>
      <c r="C17" s="968" t="str">
        <f>IF(ISBLANK(B17),"",_xlfn.XLOOKUP(B17,tblIngredients[Article],tblIngredients[Fournisseur],""))</f>
        <v>Auto</v>
      </c>
      <c r="D17" s="969" t="str">
        <f>IF(ISBLANK(B17),"",_xlfn.XLOOKUP(B17,tblIngredients[Article],tblIngredients[Unité conditionnement],""))</f>
        <v>1 kg</v>
      </c>
      <c r="E17" s="970">
        <f>IF(ISBLANK(B17),"",_xlfn.XLOOKUP(B17,tblIngredients[Article],tblIngredients[Coût d''achat HTVA  à l''unité],""))</f>
        <v>3.5</v>
      </c>
      <c r="F17" s="241">
        <v>50</v>
      </c>
      <c r="G17" s="971">
        <f>IF(OR(F17="",ISBLANK(F17)),"",E17*F17)</f>
        <v>175</v>
      </c>
      <c r="H17" s="5">
        <f>IF(OR(G17="",ISBLANK(G17)),"",G17/G$33)</f>
        <v>0.92115565556674106</v>
      </c>
      <c r="I17" s="242" t="s">
        <v>272</v>
      </c>
      <c r="J17" s="243"/>
      <c r="K17" s="244"/>
    </row>
    <row r="18" spans="2:11" s="252" customFormat="1" ht="17.25" customHeight="1">
      <c r="B18" s="208" t="s">
        <v>15</v>
      </c>
      <c r="C18" s="968" t="str">
        <f>IF(ISBLANK(B18),"",_xlfn.XLOOKUP(B18,tblIngredients[Article],tblIngredients[Fournisseur],""))</f>
        <v>Inbterbio</v>
      </c>
      <c r="D18" s="969" t="str">
        <f>IF(ISBLANK(B18),"",_xlfn.XLOOKUP(B18,tblIngredients[Article],tblIngredients[Unité conditionnement],""))</f>
        <v>1 kg</v>
      </c>
      <c r="E18" s="970">
        <f>IF(ISBLANK(B18),"",_xlfn.XLOOKUP(B18,tblIngredients[Article],tblIngredients[Coût d''achat HTVA  à l''unité],""))</f>
        <v>6</v>
      </c>
      <c r="F18" s="241">
        <v>0.5</v>
      </c>
      <c r="G18" s="971">
        <f t="shared" ref="G18:G32" si="0">IF(OR(F18="",ISBLANK(F18)),"",E18*F18)</f>
        <v>3</v>
      </c>
      <c r="H18" s="5">
        <f t="shared" ref="H18:H32" si="1">IF(OR(G18="",ISBLANK(G18)),"",G18/G$33)</f>
        <v>1.5791239809715561E-2</v>
      </c>
      <c r="I18" s="245"/>
      <c r="J18" s="243"/>
      <c r="K18" s="244"/>
    </row>
    <row r="19" spans="2:11" s="252" customFormat="1" ht="17.25" customHeight="1">
      <c r="B19" s="208" t="s">
        <v>16</v>
      </c>
      <c r="C19" s="968" t="str">
        <f>IF(ISBLANK(B19),"",_xlfn.XLOOKUP(B19,tblIngredients[Article],tblIngredients[Fournisseur],""))</f>
        <v>Interbio</v>
      </c>
      <c r="D19" s="969" t="str">
        <f>IF(ISBLANK(B19),"",_xlfn.XLOOKUP(B19,tblIngredients[Article],tblIngredients[Unité conditionnement],""))</f>
        <v>1 Botte</v>
      </c>
      <c r="E19" s="970">
        <f>IF(ISBLANK(B19),"",_xlfn.XLOOKUP(B19,tblIngredients[Article],tblIngredients[Coût d''achat HTVA  à l''unité],""))</f>
        <v>1.89</v>
      </c>
      <c r="F19" s="241">
        <v>4</v>
      </c>
      <c r="G19" s="971">
        <f t="shared" si="0"/>
        <v>7.56</v>
      </c>
      <c r="H19" s="5">
        <f t="shared" si="1"/>
        <v>3.9793924320483211E-2</v>
      </c>
      <c r="I19" s="245"/>
      <c r="J19" s="243"/>
      <c r="K19" s="244"/>
    </row>
    <row r="20" spans="2:11" s="252" customFormat="1" ht="17.25" customHeight="1">
      <c r="B20" s="208" t="s">
        <v>17</v>
      </c>
      <c r="C20" s="968" t="str">
        <f>IF(ISBLANK(B20),"",_xlfn.XLOOKUP(B20,tblIngredients[Article],tblIngredients[Fournisseur],""))</f>
        <v>Solucious</v>
      </c>
      <c r="D20" s="969" t="str">
        <f>IF(ISBLANK(B20),"",_xlfn.XLOOKUP(B20,tblIngredients[Article],tblIngredients[Unité conditionnement],""))</f>
        <v>1 L</v>
      </c>
      <c r="E20" s="970">
        <f>IF(ISBLANK(B20),"",_xlfn.XLOOKUP(B20,tblIngredients[Article],tblIngredients[Coût d''achat HTVA  à l''unité],""))</f>
        <v>17.649999999999999</v>
      </c>
      <c r="F20" s="241">
        <v>0.25</v>
      </c>
      <c r="G20" s="971">
        <f t="shared" si="0"/>
        <v>4.4124999999999996</v>
      </c>
      <c r="H20" s="5">
        <f t="shared" si="1"/>
        <v>2.3226281886789969E-2</v>
      </c>
      <c r="I20" s="245"/>
      <c r="J20" s="243"/>
      <c r="K20" s="244"/>
    </row>
    <row r="21" spans="2:11" s="252" customFormat="1" ht="17.25" customHeight="1">
      <c r="B21" s="208" t="s">
        <v>359</v>
      </c>
      <c r="C21" s="968" t="str">
        <f>IF(ISBLANK(B21),"",_xlfn.XLOOKUP(B21,tblIngredients[Article],tblIngredients[Fournisseur],""))</f>
        <v>Solucious</v>
      </c>
      <c r="D21" s="969" t="str">
        <f>IF(ISBLANK(B21),"",_xlfn.XLOOKUP(B21,tblIngredients[Article],tblIngredients[Unité conditionnement],""))</f>
        <v>1 Kg</v>
      </c>
      <c r="E21" s="970">
        <f>IF(ISBLANK(B21),"",_xlfn.XLOOKUP(B21,tblIngredients[Article],tblIngredients[Coût d''achat HTVA  à l''unité],""))</f>
        <v>6.25</v>
      </c>
      <c r="F21" s="241">
        <v>1E-3</v>
      </c>
      <c r="G21" s="971">
        <f t="shared" si="0"/>
        <v>6.2500000000000003E-3</v>
      </c>
      <c r="H21" s="5">
        <f t="shared" si="1"/>
        <v>3.2898416270240753E-5</v>
      </c>
      <c r="I21" s="245"/>
      <c r="J21" s="243"/>
      <c r="K21" s="244"/>
    </row>
    <row r="22" spans="2:11" s="252" customFormat="1" ht="17.25" customHeight="1">
      <c r="B22" s="208"/>
      <c r="C22" s="968" t="str">
        <f>IF(ISBLANK(B22),"",_xlfn.XLOOKUP(B22,tblIngredients[Article],tblIngredients[Fournisseur],""))</f>
        <v/>
      </c>
      <c r="D22" s="969" t="str">
        <f>IF(ISBLANK(B22),"",_xlfn.XLOOKUP(B22,tblIngredients[Article],tblIngredients[Unité conditionnement],""))</f>
        <v/>
      </c>
      <c r="E22" s="970" t="str">
        <f>IF(ISBLANK(B22),"",_xlfn.XLOOKUP(B22,tblIngredients[Article],tblIngredients[Coût d''achat HTVA  à l''unité],""))</f>
        <v/>
      </c>
      <c r="F22" s="241"/>
      <c r="G22" s="971" t="str">
        <f t="shared" si="0"/>
        <v/>
      </c>
      <c r="H22" s="5" t="str">
        <f t="shared" si="1"/>
        <v/>
      </c>
      <c r="I22" s="245"/>
      <c r="J22" s="243"/>
      <c r="K22" s="244"/>
    </row>
    <row r="23" spans="2:11" s="252" customFormat="1" ht="17.25" customHeight="1">
      <c r="B23" s="208"/>
      <c r="C23" s="968" t="str">
        <f>IF(ISBLANK(B23),"",_xlfn.XLOOKUP(B23,tblIngredients[Article],tblIngredients[Fournisseur],""))</f>
        <v/>
      </c>
      <c r="D23" s="969" t="str">
        <f>IF(ISBLANK(B23),"",_xlfn.XLOOKUP(B23,tblIngredients[Article],tblIngredients[Unité conditionnement],""))</f>
        <v/>
      </c>
      <c r="E23" s="970" t="str">
        <f>IF(ISBLANK(B23),"",_xlfn.XLOOKUP(B23,tblIngredients[Article],tblIngredients[Coût d''achat HTVA  à l''unité],""))</f>
        <v/>
      </c>
      <c r="F23" s="241"/>
      <c r="G23" s="971" t="str">
        <f t="shared" si="0"/>
        <v/>
      </c>
      <c r="H23" s="5" t="str">
        <f t="shared" si="1"/>
        <v/>
      </c>
      <c r="I23" s="245"/>
      <c r="J23" s="243"/>
      <c r="K23" s="244"/>
    </row>
    <row r="24" spans="2:11" s="252" customFormat="1" ht="17.25" customHeight="1">
      <c r="B24" s="208"/>
      <c r="C24" s="968" t="str">
        <f>IF(ISBLANK(B24),"",_xlfn.XLOOKUP(B24,tblIngredients[Article],tblIngredients[Fournisseur],""))</f>
        <v/>
      </c>
      <c r="D24" s="969" t="str">
        <f>IF(ISBLANK(B24),"",_xlfn.XLOOKUP(B24,tblIngredients[Article],tblIngredients[Unité conditionnement],""))</f>
        <v/>
      </c>
      <c r="E24" s="970" t="str">
        <f>IF(ISBLANK(B24),"",_xlfn.XLOOKUP(B24,tblIngredients[Article],tblIngredients[Coût d''achat HTVA  à l''unité],""))</f>
        <v/>
      </c>
      <c r="F24" s="241"/>
      <c r="G24" s="971" t="str">
        <f t="shared" si="0"/>
        <v/>
      </c>
      <c r="H24" s="5" t="str">
        <f t="shared" si="1"/>
        <v/>
      </c>
      <c r="I24" s="245"/>
      <c r="J24" s="243"/>
      <c r="K24" s="244"/>
    </row>
    <row r="25" spans="2:11" s="252" customFormat="1" ht="17.25" customHeight="1">
      <c r="B25" s="208"/>
      <c r="C25" s="968" t="str">
        <f>IF(ISBLANK(B25),"",_xlfn.XLOOKUP(B25,tblIngredients[Article],tblIngredients[Fournisseur],""))</f>
        <v/>
      </c>
      <c r="D25" s="969" t="str">
        <f>IF(ISBLANK(B25),"",_xlfn.XLOOKUP(B25,tblIngredients[Article],tblIngredients[Unité conditionnement],""))</f>
        <v/>
      </c>
      <c r="E25" s="970" t="str">
        <f>IF(ISBLANK(B25),"",_xlfn.XLOOKUP(B25,tblIngredients[Article],tblIngredients[Coût d''achat HTVA  à l''unité],""))</f>
        <v/>
      </c>
      <c r="F25" s="241"/>
      <c r="G25" s="971" t="str">
        <f t="shared" ref="G25:G27" si="2">IF(OR(F25="",ISBLANK(F25)),"",E25*F25)</f>
        <v/>
      </c>
      <c r="H25" s="5" t="str">
        <f t="shared" ref="H25:H27" si="3">IF(OR(G25="",ISBLANK(G25)),"",G25/G$33)</f>
        <v/>
      </c>
      <c r="I25" s="245"/>
      <c r="J25" s="243"/>
      <c r="K25" s="244"/>
    </row>
    <row r="26" spans="2:11" s="252" customFormat="1" ht="17.25" customHeight="1">
      <c r="B26" s="208"/>
      <c r="C26" s="968" t="str">
        <f>IF(ISBLANK(B26),"",_xlfn.XLOOKUP(B26,tblIngredients[Article],tblIngredients[Fournisseur],""))</f>
        <v/>
      </c>
      <c r="D26" s="969" t="str">
        <f>IF(ISBLANK(B26),"",_xlfn.XLOOKUP(B26,tblIngredients[Article],tblIngredients[Unité conditionnement],""))</f>
        <v/>
      </c>
      <c r="E26" s="970" t="str">
        <f>IF(ISBLANK(B26),"",_xlfn.XLOOKUP(B26,tblIngredients[Article],tblIngredients[Coût d''achat HTVA  à l''unité],""))</f>
        <v/>
      </c>
      <c r="F26" s="241"/>
      <c r="G26" s="971" t="str">
        <f t="shared" si="2"/>
        <v/>
      </c>
      <c r="H26" s="5" t="str">
        <f t="shared" si="3"/>
        <v/>
      </c>
      <c r="I26" s="245"/>
      <c r="J26" s="243"/>
      <c r="K26" s="244"/>
    </row>
    <row r="27" spans="2:11" s="252" customFormat="1" ht="17.25" customHeight="1">
      <c r="B27" s="208"/>
      <c r="C27" s="968" t="str">
        <f>IF(ISBLANK(B27),"",_xlfn.XLOOKUP(B27,tblIngredients[Article],tblIngredients[Fournisseur],""))</f>
        <v/>
      </c>
      <c r="D27" s="969" t="str">
        <f>IF(ISBLANK(B27),"",_xlfn.XLOOKUP(B27,tblIngredients[Article],tblIngredients[Unité conditionnement],""))</f>
        <v/>
      </c>
      <c r="E27" s="970" t="str">
        <f>IF(ISBLANK(B27),"",_xlfn.XLOOKUP(B27,tblIngredients[Article],tblIngredients[Coût d''achat HTVA  à l''unité],""))</f>
        <v/>
      </c>
      <c r="F27" s="241"/>
      <c r="G27" s="971" t="str">
        <f t="shared" si="2"/>
        <v/>
      </c>
      <c r="H27" s="5" t="str">
        <f t="shared" si="3"/>
        <v/>
      </c>
      <c r="I27" s="245"/>
      <c r="J27" s="243"/>
      <c r="K27" s="244"/>
    </row>
    <row r="28" spans="2:11" s="252" customFormat="1" ht="17.25" customHeight="1">
      <c r="B28" s="208"/>
      <c r="C28" s="968"/>
      <c r="D28" s="969"/>
      <c r="E28" s="970"/>
      <c r="F28" s="241"/>
      <c r="G28" s="971"/>
      <c r="H28" s="5"/>
      <c r="I28" s="245"/>
      <c r="J28" s="243"/>
      <c r="K28" s="244"/>
    </row>
    <row r="29" spans="2:11" s="252" customFormat="1" ht="17.25" customHeight="1">
      <c r="B29" s="208"/>
      <c r="C29" s="968" t="str">
        <f>IF(ISBLANK(B29),"",_xlfn.XLOOKUP(B29,tblIngredients[Article],tblIngredients[Fournisseur],""))</f>
        <v/>
      </c>
      <c r="D29" s="969" t="str">
        <f>IF(ISBLANK(B29),"",_xlfn.XLOOKUP(B29,tblIngredients[Article],tblIngredients[Unité conditionnement],""))</f>
        <v/>
      </c>
      <c r="E29" s="970" t="str">
        <f>IF(ISBLANK(B29),"",_xlfn.XLOOKUP(B29,tblIngredients[Article],tblIngredients[Coût d''achat HTVA  à l''unité],""))</f>
        <v/>
      </c>
      <c r="F29" s="241"/>
      <c r="G29" s="971" t="str">
        <f t="shared" si="0"/>
        <v/>
      </c>
      <c r="H29" s="5" t="str">
        <f t="shared" si="1"/>
        <v/>
      </c>
      <c r="I29" s="245"/>
      <c r="J29" s="243"/>
      <c r="K29" s="244"/>
    </row>
    <row r="30" spans="2:11" s="252" customFormat="1" ht="17.25" customHeight="1">
      <c r="B30" s="208"/>
      <c r="C30" s="968" t="str">
        <f>IF(ISBLANK(B30),"",_xlfn.XLOOKUP(B30,tblIngredients[Article],tblIngredients[Fournisseur],""))</f>
        <v/>
      </c>
      <c r="D30" s="969" t="str">
        <f>IF(ISBLANK(B30),"",_xlfn.XLOOKUP(B30,tblIngredients[Article],tblIngredients[Unité conditionnement],""))</f>
        <v/>
      </c>
      <c r="E30" s="970" t="str">
        <f>IF(ISBLANK(B30),"",_xlfn.XLOOKUP(B30,tblIngredients[Article],tblIngredients[Coût d''achat HTVA  à l''unité],""))</f>
        <v/>
      </c>
      <c r="F30" s="241"/>
      <c r="G30" s="971" t="str">
        <f t="shared" si="0"/>
        <v/>
      </c>
      <c r="H30" s="5" t="str">
        <f t="shared" si="1"/>
        <v/>
      </c>
      <c r="I30" s="245"/>
      <c r="J30" s="243"/>
      <c r="K30" s="244"/>
    </row>
    <row r="31" spans="2:11" s="252" customFormat="1" ht="17.25" customHeight="1">
      <c r="B31" s="208"/>
      <c r="C31" s="968" t="str">
        <f>IF(ISBLANK(B31),"",_xlfn.XLOOKUP(B31,tblIngredients[Article],tblIngredients[Fournisseur],""))</f>
        <v/>
      </c>
      <c r="D31" s="969" t="str">
        <f>IF(ISBLANK(B31),"",_xlfn.XLOOKUP(B31,tblIngredients[Article],tblIngredients[Unité conditionnement],""))</f>
        <v/>
      </c>
      <c r="E31" s="970" t="str">
        <f>IF(ISBLANK(B31),"",_xlfn.XLOOKUP(B31,tblIngredients[Article],tblIngredients[Coût d''achat HTVA  à l''unité],""))</f>
        <v/>
      </c>
      <c r="F31" s="241"/>
      <c r="G31" s="971" t="str">
        <f t="shared" si="0"/>
        <v/>
      </c>
      <c r="H31" s="5" t="str">
        <f t="shared" si="1"/>
        <v/>
      </c>
      <c r="I31" s="245"/>
      <c r="J31" s="243"/>
      <c r="K31" s="244"/>
    </row>
    <row r="32" spans="2:11" s="252" customFormat="1" ht="17.25" customHeight="1">
      <c r="B32" s="208"/>
      <c r="C32" s="968" t="str">
        <f>IF(ISBLANK(B32),"",_xlfn.XLOOKUP(B32,tblIngredients[Article],tblIngredients[Fournisseur],""))</f>
        <v/>
      </c>
      <c r="D32" s="969" t="str">
        <f>IF(ISBLANK(B32),"",_xlfn.XLOOKUP(B32,tblIngredients[Article],tblIngredients[Unité conditionnement],""))</f>
        <v/>
      </c>
      <c r="E32" s="970" t="str">
        <f>IF(ISBLANK(B32),"",_xlfn.XLOOKUP(B32,tblIngredients[Article],tblIngredients[Coût d''achat HTVA  à l''unité],""))</f>
        <v/>
      </c>
      <c r="F32" s="241"/>
      <c r="G32" s="971" t="str">
        <f t="shared" si="0"/>
        <v/>
      </c>
      <c r="H32" s="5" t="str">
        <f t="shared" si="1"/>
        <v/>
      </c>
      <c r="I32" s="245"/>
      <c r="J32" s="243"/>
      <c r="K32" s="244"/>
    </row>
    <row r="33" spans="2:11" s="252" customFormat="1" ht="17.25" customHeight="1">
      <c r="B33" s="952" t="s">
        <v>29</v>
      </c>
      <c r="C33" s="952"/>
      <c r="D33" s="952"/>
      <c r="E33" s="952"/>
      <c r="F33" s="952"/>
      <c r="G33" s="953">
        <f>SUM(G17:G32)</f>
        <v>189.97874999999999</v>
      </c>
      <c r="H33" s="954">
        <f>IF(G33="","",G33/G$45)</f>
        <v>0.72032302138783477</v>
      </c>
      <c r="I33" s="955"/>
      <c r="J33" s="956"/>
      <c r="K33" s="957"/>
    </row>
    <row r="34" spans="2:11" s="252" customFormat="1" ht="17.25" customHeight="1">
      <c r="B34" s="208" t="s">
        <v>19</v>
      </c>
      <c r="C34" s="968" t="str">
        <f>IF(ISBLANK(B34),"",_xlfn.XLOOKUP(B34,tblConsommables[Article],tblConsommables[Fournisseur],""))</f>
        <v>Grossiste</v>
      </c>
      <c r="D34" s="969" t="str">
        <f>IF(ISBLANK(B34),"",_xlfn.XLOOKUP(B34,tblConsommables[Article],tblConsommables[Unité conditionnement],""))</f>
        <v>Unité</v>
      </c>
      <c r="E34" s="970">
        <f>IF(ISBLANK(B34),"",_xlfn.XLOOKUP(B34,tblConsommables[Article],tblConsommables[Coût d''achat HTVA  à l''unité],""))</f>
        <v>0.154</v>
      </c>
      <c r="F34" s="246">
        <v>230</v>
      </c>
      <c r="G34" s="972">
        <f>IF(OR(F34="",ISBLANK(F34)),"",E34*F34)</f>
        <v>35.42</v>
      </c>
      <c r="H34" s="6">
        <f>IF(OR(G34="",ISBLANK(G34)),"",G34/G$43)</f>
        <v>0.48988285410010646</v>
      </c>
      <c r="I34" s="245"/>
      <c r="J34" s="243"/>
      <c r="K34" s="247"/>
    </row>
    <row r="35" spans="2:11" s="252" customFormat="1" ht="17.25" customHeight="1">
      <c r="B35" s="208" t="s">
        <v>38</v>
      </c>
      <c r="C35" s="968" t="str">
        <f>IF(ISBLANK(B35),"",_xlfn.XLOOKUP(B35,tblConsommables[Article],tblConsommables[Fournisseur],""))</f>
        <v>Grossiste</v>
      </c>
      <c r="D35" s="969" t="str">
        <f>IF(ISBLANK(B35),"",_xlfn.XLOOKUP(B35,tblConsommables[Article],tblConsommables[Unité conditionnement],""))</f>
        <v>Unité</v>
      </c>
      <c r="E35" s="970">
        <f>IF(ISBLANK(B35),"",_xlfn.XLOOKUP(B35,tblConsommables[Article],tblConsommables[Coût d''achat HTVA  à l''unité],""))</f>
        <v>0.12</v>
      </c>
      <c r="F35" s="246">
        <v>250</v>
      </c>
      <c r="G35" s="972">
        <f t="shared" ref="G35:G42" si="4">IF(OR(F35="",ISBLANK(F35)),"",E35*F35)</f>
        <v>30</v>
      </c>
      <c r="H35" s="6">
        <f t="shared" ref="H35:H42" si="5">IF(OR(G35="",ISBLANK(G35)),"",G35/G$43)</f>
        <v>0.41492054271606982</v>
      </c>
      <c r="I35" s="245"/>
      <c r="J35" s="243"/>
      <c r="K35" s="247"/>
    </row>
    <row r="36" spans="2:11" s="252" customFormat="1" ht="17.25" customHeight="1">
      <c r="B36" s="208" t="s">
        <v>27</v>
      </c>
      <c r="C36" s="968" t="str">
        <f>IF(ISBLANK(B36),"",_xlfn.XLOOKUP(B36,tblConsommables[Article],tblConsommables[Fournisseur],""))</f>
        <v>Grossiste</v>
      </c>
      <c r="D36" s="969" t="str">
        <f>IF(ISBLANK(B36),"",_xlfn.XLOOKUP(B36,tblConsommables[Article],tblConsommables[Unité conditionnement],""))</f>
        <v>Rack de 1000</v>
      </c>
      <c r="E36" s="970">
        <f>IF(ISBLANK(B36),"",_xlfn.XLOOKUP(B36,tblConsommables[Article],tblConsommables[Coût d''achat HTVA  à l''unité],""))</f>
        <v>27.3</v>
      </c>
      <c r="F36" s="246">
        <v>0.25</v>
      </c>
      <c r="G36" s="972">
        <f t="shared" si="4"/>
        <v>6.8250000000000002</v>
      </c>
      <c r="H36" s="6">
        <f t="shared" si="5"/>
        <v>9.4394423467905886E-2</v>
      </c>
      <c r="I36" s="245"/>
      <c r="J36" s="243"/>
      <c r="K36" s="247"/>
    </row>
    <row r="37" spans="2:11" s="252" customFormat="1" ht="17.25" customHeight="1">
      <c r="B37" s="208" t="s">
        <v>370</v>
      </c>
      <c r="C37" s="968" t="str">
        <f>IF(ISBLANK(B37),"",_xlfn.XLOOKUP(B37,tblConsommables[Article],tblConsommables[Fournisseur],""))</f>
        <v>Grossiste</v>
      </c>
      <c r="D37" s="969" t="str">
        <f>IF(ISBLANK(B37),"",_xlfn.XLOOKUP(B37,tblConsommables[Article],tblConsommables[Unité conditionnement],""))</f>
        <v>Rack de 1000</v>
      </c>
      <c r="E37" s="970">
        <f>IF(ISBLANK(B37),"",_xlfn.XLOOKUP(B37,tblConsommables[Article],tblConsommables[Coût d''achat HTVA  à l''unité],""))</f>
        <v>58</v>
      </c>
      <c r="F37" s="246">
        <v>1E-3</v>
      </c>
      <c r="G37" s="972">
        <f t="shared" si="4"/>
        <v>5.8000000000000003E-2</v>
      </c>
      <c r="H37" s="6">
        <f t="shared" si="5"/>
        <v>8.0217971591773501E-4</v>
      </c>
      <c r="I37" s="245"/>
      <c r="J37" s="243"/>
      <c r="K37" s="247"/>
    </row>
    <row r="38" spans="2:11" s="252" customFormat="1" ht="17.25" customHeight="1">
      <c r="B38" s="208"/>
      <c r="C38" s="968" t="str">
        <f>IF(ISBLANK(B38),"",_xlfn.XLOOKUP(B38,tblConsommables[Article],tblConsommables[Fournisseur],""))</f>
        <v/>
      </c>
      <c r="D38" s="969" t="str">
        <f>IF(ISBLANK(B38),"",_xlfn.XLOOKUP(B38,tblConsommables[Article],tblConsommables[Unité conditionnement],""))</f>
        <v/>
      </c>
      <c r="E38" s="970" t="str">
        <f>IF(ISBLANK(B38),"",_xlfn.XLOOKUP(B38,tblConsommables[Article],tblConsommables[Coût d''achat HTVA  à l''unité],""))</f>
        <v/>
      </c>
      <c r="F38" s="246"/>
      <c r="G38" s="972" t="str">
        <f t="shared" si="4"/>
        <v/>
      </c>
      <c r="H38" s="6" t="str">
        <f t="shared" si="5"/>
        <v/>
      </c>
      <c r="I38" s="245"/>
      <c r="J38" s="243"/>
      <c r="K38" s="247"/>
    </row>
    <row r="39" spans="2:11" s="252" customFormat="1" ht="17.25" customHeight="1">
      <c r="B39" s="208"/>
      <c r="C39" s="968" t="str">
        <f>IF(ISBLANK(B39),"",_xlfn.XLOOKUP(B39,tblConsommables[Article],tblConsommables[Fournisseur],""))</f>
        <v/>
      </c>
      <c r="D39" s="969" t="str">
        <f>IF(ISBLANK(B39),"",_xlfn.XLOOKUP(B39,tblConsommables[Article],tblConsommables[Unité conditionnement],""))</f>
        <v/>
      </c>
      <c r="E39" s="970" t="str">
        <f>IF(ISBLANK(B39),"",_xlfn.XLOOKUP(B39,tblConsommables[Article],tblConsommables[Coût d''achat HTVA  à l''unité],""))</f>
        <v/>
      </c>
      <c r="F39" s="246"/>
      <c r="G39" s="972" t="str">
        <f t="shared" si="4"/>
        <v/>
      </c>
      <c r="H39" s="6" t="str">
        <f t="shared" si="5"/>
        <v/>
      </c>
      <c r="I39" s="245"/>
      <c r="J39" s="243"/>
      <c r="K39" s="247"/>
    </row>
    <row r="40" spans="2:11" s="252" customFormat="1" ht="17.25" customHeight="1">
      <c r="B40" s="208"/>
      <c r="C40" s="968" t="str">
        <f>IF(ISBLANK(B40),"",_xlfn.XLOOKUP(B40,tblConsommables[Article],tblConsommables[Fournisseur],""))</f>
        <v/>
      </c>
      <c r="D40" s="969" t="str">
        <f>IF(ISBLANK(B40),"",_xlfn.XLOOKUP(B40,tblConsommables[Article],tblConsommables[Unité conditionnement],""))</f>
        <v/>
      </c>
      <c r="E40" s="970" t="str">
        <f>IF(ISBLANK(B40),"",_xlfn.XLOOKUP(B40,tblConsommables[Article],tblConsommables[Coût d''achat HTVA  à l''unité],""))</f>
        <v/>
      </c>
      <c r="F40" s="246"/>
      <c r="G40" s="972" t="str">
        <f t="shared" si="4"/>
        <v/>
      </c>
      <c r="H40" s="6" t="str">
        <f t="shared" si="5"/>
        <v/>
      </c>
      <c r="I40" s="245"/>
      <c r="J40" s="243"/>
      <c r="K40" s="247"/>
    </row>
    <row r="41" spans="2:11" s="252" customFormat="1" ht="17.25" customHeight="1">
      <c r="B41" s="208"/>
      <c r="C41" s="968" t="str">
        <f>IF(ISBLANK(B41),"",_xlfn.XLOOKUP(B41,tblConsommables[Article],tblConsommables[Fournisseur],""))</f>
        <v/>
      </c>
      <c r="D41" s="969" t="str">
        <f>IF(ISBLANK(B41),"",_xlfn.XLOOKUP(B41,tblConsommables[Article],tblConsommables[Unité conditionnement],""))</f>
        <v/>
      </c>
      <c r="E41" s="970" t="str">
        <f>IF(ISBLANK(B41),"",_xlfn.XLOOKUP(B41,tblConsommables[Article],tblConsommables[Coût d''achat HTVA  à l''unité],""))</f>
        <v/>
      </c>
      <c r="F41" s="246"/>
      <c r="G41" s="972" t="str">
        <f t="shared" si="4"/>
        <v/>
      </c>
      <c r="H41" s="6" t="str">
        <f t="shared" si="5"/>
        <v/>
      </c>
      <c r="I41" s="245"/>
      <c r="J41" s="243"/>
      <c r="K41" s="247"/>
    </row>
    <row r="42" spans="2:11" s="252" customFormat="1" ht="17.25" customHeight="1" thickBot="1">
      <c r="B42" s="208"/>
      <c r="C42" s="968" t="str">
        <f>IF(ISBLANK(B42),"",_xlfn.XLOOKUP(B42,tblConsommables[Article],tblConsommables[Fournisseur],""))</f>
        <v/>
      </c>
      <c r="D42" s="969" t="str">
        <f>IF(ISBLANK(B42),"",_xlfn.XLOOKUP(B42,tblConsommables[Article],tblConsommables[Unité conditionnement],""))</f>
        <v/>
      </c>
      <c r="E42" s="970" t="str">
        <f>IF(ISBLANK(B42),"",_xlfn.XLOOKUP(B42,tblConsommables[Article],tblConsommables[Coût d''achat HTVA  à l''unité],""))</f>
        <v/>
      </c>
      <c r="F42" s="248"/>
      <c r="G42" s="972" t="str">
        <f t="shared" si="4"/>
        <v/>
      </c>
      <c r="H42" s="6" t="str">
        <f t="shared" si="5"/>
        <v/>
      </c>
      <c r="I42" s="245"/>
      <c r="J42" s="243"/>
      <c r="K42" s="247"/>
    </row>
    <row r="43" spans="2:11" s="252" customFormat="1" ht="17.25" customHeight="1" thickBot="1">
      <c r="B43" s="958" t="s">
        <v>31</v>
      </c>
      <c r="C43" s="959"/>
      <c r="D43" s="959"/>
      <c r="E43" s="959"/>
      <c r="F43" s="959"/>
      <c r="G43" s="960">
        <f>SUM(G34:G42)</f>
        <v>72.303000000000011</v>
      </c>
      <c r="H43" s="961">
        <f>IF(G43="","",G43/G$45)</f>
        <v>0.27414389985935073</v>
      </c>
      <c r="I43" s="962"/>
      <c r="J43" s="962"/>
      <c r="K43" s="962"/>
    </row>
    <row r="44" spans="2:11" s="252" customFormat="1" ht="17.25" customHeight="1">
      <c r="B44" s="958" t="s">
        <v>180</v>
      </c>
      <c r="C44" s="959"/>
      <c r="D44" s="959"/>
      <c r="E44" s="959"/>
      <c r="F44" s="959"/>
      <c r="G44" s="963">
        <f>J73</f>
        <v>1.4593</v>
      </c>
      <c r="H44" s="961">
        <f>IF(G44="","",G44/G$45)</f>
        <v>5.5330787528145515E-3</v>
      </c>
      <c r="I44" s="964"/>
      <c r="J44" s="962"/>
      <c r="K44" s="962"/>
    </row>
    <row r="45" spans="2:11" s="252" customFormat="1" ht="17.25" customHeight="1">
      <c r="B45" s="249" t="s">
        <v>273</v>
      </c>
      <c r="C45" s="250"/>
      <c r="D45" s="250"/>
      <c r="E45" s="250"/>
      <c r="F45" s="251"/>
      <c r="G45" s="973">
        <f>SUM(G33,G43,G44)</f>
        <v>263.74104999999997</v>
      </c>
      <c r="H45" s="7">
        <f>IF(G45="","",G45/G$45)</f>
        <v>1</v>
      </c>
    </row>
    <row r="46" spans="2:11" s="252" customFormat="1" ht="17.25" customHeight="1">
      <c r="B46" s="220" t="s">
        <v>274</v>
      </c>
      <c r="C46" s="253"/>
      <c r="D46" s="253"/>
      <c r="E46" s="253"/>
      <c r="F46" s="254"/>
      <c r="G46" s="973">
        <f>G45/D8</f>
        <v>1.1721824444444444</v>
      </c>
      <c r="H46" s="255"/>
    </row>
    <row r="47" spans="2:11" s="252" customFormat="1" ht="17.25" customHeight="1">
      <c r="H47" s="256"/>
    </row>
    <row r="48" spans="2:11" s="252" customFormat="1" ht="17.25" customHeight="1">
      <c r="B48" s="431" t="s">
        <v>275</v>
      </c>
      <c r="C48" s="432"/>
      <c r="D48" s="432"/>
      <c r="E48" s="432"/>
      <c r="F48" s="432"/>
      <c r="G48" s="433"/>
      <c r="H48" s="257"/>
      <c r="I48" s="431" t="s">
        <v>26</v>
      </c>
      <c r="J48" s="432"/>
      <c r="K48" s="433"/>
    </row>
    <row r="49" spans="2:17" s="252" customFormat="1" ht="17.25" customHeight="1">
      <c r="B49" s="220" t="s">
        <v>276</v>
      </c>
      <c r="C49" s="258"/>
      <c r="D49" s="258"/>
      <c r="E49" s="259"/>
      <c r="F49" s="260"/>
      <c r="G49" s="974">
        <f>D10</f>
        <v>4.0599999999999996</v>
      </c>
      <c r="H49" s="261"/>
      <c r="I49" s="220" t="s">
        <v>9</v>
      </c>
      <c r="J49" s="254"/>
      <c r="K49" s="974">
        <f>G10</f>
        <v>4.6698113207547172</v>
      </c>
    </row>
    <row r="50" spans="2:17" s="252" customFormat="1" ht="17.25" customHeight="1">
      <c r="B50" s="220" t="s">
        <v>277</v>
      </c>
      <c r="C50" s="258"/>
      <c r="D50" s="258"/>
      <c r="E50" s="253"/>
      <c r="F50" s="262"/>
      <c r="G50" s="975">
        <f>G49-G46</f>
        <v>2.8878175555555554</v>
      </c>
      <c r="H50" s="263"/>
      <c r="I50" s="220" t="s">
        <v>10</v>
      </c>
      <c r="J50" s="254"/>
      <c r="K50" s="975">
        <f>K49-G46</f>
        <v>3.497628876310273</v>
      </c>
    </row>
    <row r="51" spans="2:17" s="252" customFormat="1" ht="17.25" customHeight="1">
      <c r="B51" s="220" t="s">
        <v>378</v>
      </c>
      <c r="C51" s="258"/>
      <c r="D51" s="258"/>
      <c r="E51" s="253"/>
      <c r="F51" s="260"/>
      <c r="G51" s="975">
        <f>G50*$D8</f>
        <v>649.75894999999991</v>
      </c>
      <c r="H51" s="263"/>
      <c r="I51" s="220" t="s">
        <v>378</v>
      </c>
      <c r="J51" s="254"/>
      <c r="K51" s="975">
        <f>K50*$D8</f>
        <v>786.96649716981142</v>
      </c>
    </row>
    <row r="52" spans="2:17" s="252" customFormat="1" ht="17.25" customHeight="1">
      <c r="B52" s="220" t="s">
        <v>379</v>
      </c>
      <c r="C52" s="258"/>
      <c r="D52" s="258"/>
      <c r="E52" s="253"/>
      <c r="F52" s="260"/>
      <c r="G52" s="975">
        <f>G51/($C73*(1/60))</f>
        <v>135.36644791666666</v>
      </c>
      <c r="H52" s="263"/>
      <c r="I52" s="220" t="s">
        <v>379</v>
      </c>
      <c r="J52" s="254"/>
      <c r="K52" s="975">
        <f>K51/($C73*(1/60))</f>
        <v>163.95135357704405</v>
      </c>
    </row>
    <row r="53" spans="2:17" s="252" customFormat="1" ht="17.25" customHeight="1">
      <c r="B53" s="220" t="s">
        <v>278</v>
      </c>
      <c r="C53" s="258"/>
      <c r="D53" s="258"/>
      <c r="E53" s="253"/>
      <c r="F53" s="260"/>
      <c r="G53" s="8">
        <f>G50/$G$46</f>
        <v>2.4636246424286243</v>
      </c>
      <c r="H53" s="264"/>
      <c r="I53" s="220" t="s">
        <v>11</v>
      </c>
      <c r="J53" s="254"/>
      <c r="K53" s="8">
        <f>K50/$G$46</f>
        <v>2.9838604842507888</v>
      </c>
    </row>
    <row r="54" spans="2:17" s="252" customFormat="1" ht="17.25" customHeight="1" thickBot="1">
      <c r="B54" s="220" t="s">
        <v>12</v>
      </c>
      <c r="C54" s="258"/>
      <c r="D54" s="258"/>
      <c r="E54" s="253"/>
      <c r="F54" s="260"/>
      <c r="G54" s="976">
        <f>G49/$G$46</f>
        <v>3.4636246424286243</v>
      </c>
      <c r="H54" s="261"/>
      <c r="I54" s="220" t="s">
        <v>12</v>
      </c>
      <c r="J54" s="254"/>
      <c r="K54" s="976">
        <f>K49/$G$46</f>
        <v>3.9838604842507883</v>
      </c>
    </row>
    <row r="55" spans="2:17" ht="13.8">
      <c r="B55" s="220" t="s">
        <v>13</v>
      </c>
      <c r="C55" s="258"/>
      <c r="D55" s="258"/>
      <c r="E55" s="265"/>
      <c r="F55" s="266"/>
      <c r="G55" s="9">
        <f>G46/G49</f>
        <v>0.28871488779419818</v>
      </c>
      <c r="I55" s="220" t="s">
        <v>13</v>
      </c>
      <c r="J55" s="254"/>
      <c r="K55" s="9">
        <f>G46/K49</f>
        <v>0.25101280628507294</v>
      </c>
      <c r="L55" s="252"/>
      <c r="M55" s="252"/>
      <c r="N55" s="252"/>
      <c r="O55" s="252"/>
      <c r="P55" s="252"/>
      <c r="Q55" s="252"/>
    </row>
    <row r="56" spans="2:17" ht="14.4" thickBot="1">
      <c r="B56" s="220" t="s">
        <v>371</v>
      </c>
      <c r="F56" s="267"/>
      <c r="G56" s="34">
        <f ca="1">'4. CHARGES FIXES'!J18/(1-G55)</f>
        <v>29865.873899911589</v>
      </c>
      <c r="I56" s="220" t="s">
        <v>373</v>
      </c>
      <c r="K56" s="34">
        <f ca="1">'4. CHARGES FIXES'!J18/(1-K55)</f>
        <v>28362.502918986254</v>
      </c>
      <c r="L56" s="252"/>
      <c r="M56" s="252"/>
      <c r="N56" s="252"/>
      <c r="O56" s="252"/>
      <c r="P56" s="252"/>
      <c r="Q56" s="252"/>
    </row>
    <row r="57" spans="2:17" ht="14.4" thickBot="1">
      <c r="B57" s="268" t="s">
        <v>372</v>
      </c>
      <c r="F57" s="267"/>
      <c r="G57" s="977">
        <f ca="1">G56/G49</f>
        <v>7356.1265763329047</v>
      </c>
      <c r="I57" s="220" t="s">
        <v>374</v>
      </c>
      <c r="K57" s="977">
        <f ca="1">K56/K49</f>
        <v>6073.5864836617029</v>
      </c>
      <c r="L57" s="252"/>
      <c r="M57" s="252"/>
      <c r="N57" s="252"/>
      <c r="O57" s="252"/>
      <c r="P57" s="252"/>
      <c r="Q57" s="252"/>
    </row>
    <row r="58" spans="2:17" ht="14.4" thickBot="1">
      <c r="F58" s="267"/>
      <c r="K58" s="252"/>
      <c r="L58" s="252"/>
      <c r="M58" s="252"/>
      <c r="N58" s="252"/>
      <c r="O58" s="252"/>
      <c r="P58" s="252"/>
      <c r="Q58" s="252"/>
    </row>
    <row r="59" spans="2:17" ht="13.8">
      <c r="B59" s="436" t="s">
        <v>279</v>
      </c>
      <c r="C59" s="437"/>
      <c r="D59" s="437"/>
      <c r="E59" s="437"/>
      <c r="F59" s="437"/>
      <c r="G59" s="437"/>
      <c r="H59" s="437"/>
      <c r="I59" s="437"/>
      <c r="J59" s="438"/>
      <c r="K59" s="252"/>
      <c r="L59" s="252"/>
      <c r="M59" s="252"/>
      <c r="N59" s="252"/>
      <c r="O59" s="252"/>
      <c r="P59" s="252"/>
      <c r="Q59" s="252"/>
    </row>
    <row r="60" spans="2:17" ht="13.8">
      <c r="B60" s="269" t="s">
        <v>41</v>
      </c>
      <c r="C60" s="269" t="s">
        <v>280</v>
      </c>
      <c r="D60" s="269" t="s">
        <v>168</v>
      </c>
      <c r="E60" s="269" t="s">
        <v>282</v>
      </c>
      <c r="F60" s="269" t="s">
        <v>169</v>
      </c>
      <c r="G60" s="269" t="s">
        <v>172</v>
      </c>
      <c r="H60" s="269" t="s">
        <v>170</v>
      </c>
      <c r="I60" s="269" t="s">
        <v>174</v>
      </c>
      <c r="J60" s="269" t="s">
        <v>179</v>
      </c>
    </row>
    <row r="61" spans="2:17" ht="13.8">
      <c r="B61" s="270" t="s">
        <v>46</v>
      </c>
      <c r="C61" s="271">
        <v>20</v>
      </c>
      <c r="D61" s="271">
        <v>0</v>
      </c>
      <c r="E61" s="978">
        <f>C61+D61</f>
        <v>20</v>
      </c>
      <c r="F61" s="271"/>
      <c r="G61" s="271"/>
      <c r="H61" s="978">
        <f t="shared" ref="H61:H72" si="6">G61*D61/60</f>
        <v>0</v>
      </c>
      <c r="I61" s="272"/>
      <c r="J61" s="979" cm="1">
        <f t="array" ref="J61">_xlfn.IFS(I61=Listes!$C$2,'1. DONNEES DE BASE'!$B$2*H61,'FT_PROD (1)'!I61=Listes!$C$3,'1. DONNEES DE BASE'!$B$3*'FT_PROD (1)'!H61,TRUE,0)</f>
        <v>0</v>
      </c>
    </row>
    <row r="62" spans="2:17" ht="13.8">
      <c r="B62" s="270" t="s">
        <v>45</v>
      </c>
      <c r="C62" s="271">
        <v>120</v>
      </c>
      <c r="D62" s="271">
        <v>0</v>
      </c>
      <c r="E62" s="978">
        <f t="shared" ref="E62:E72" si="7">C62+D62</f>
        <v>120</v>
      </c>
      <c r="F62" s="271"/>
      <c r="G62" s="271"/>
      <c r="H62" s="978">
        <f t="shared" si="6"/>
        <v>0</v>
      </c>
      <c r="I62" s="272"/>
      <c r="J62" s="979" cm="1">
        <f t="array" ref="J62">_xlfn.IFS(I62=Listes!$C$2,'1. DONNEES DE BASE'!$B$2*H62,'FT_PROD (1)'!I62=Listes!$C$3,'1. DONNEES DE BASE'!$B$3*'FT_PROD (1)'!H62,TRUE,0)</f>
        <v>0</v>
      </c>
    </row>
    <row r="63" spans="2:17" ht="13.8">
      <c r="B63" s="270" t="s">
        <v>42</v>
      </c>
      <c r="C63" s="271">
        <v>10</v>
      </c>
      <c r="D63" s="273">
        <v>120</v>
      </c>
      <c r="E63" s="978">
        <f t="shared" si="7"/>
        <v>130</v>
      </c>
      <c r="F63" s="271" t="s">
        <v>173</v>
      </c>
      <c r="G63" s="271">
        <v>3</v>
      </c>
      <c r="H63" s="978">
        <f>G63*D63/60</f>
        <v>6</v>
      </c>
      <c r="I63" s="272" t="s">
        <v>175</v>
      </c>
      <c r="J63" s="979" cm="1">
        <f t="array" ref="J63">_xlfn.IFS(I63=Listes!$C$2,'1. DONNEES DE BASE'!$B$2*H63,'FT_PROD (1)'!I63=Listes!$C$3,'1. DONNEES DE BASE'!$B$3*'FT_PROD (1)'!H63,TRUE,0)</f>
        <v>0.48180000000000001</v>
      </c>
    </row>
    <row r="64" spans="2:17" ht="13.8">
      <c r="B64" s="270" t="s">
        <v>43</v>
      </c>
      <c r="C64" s="271">
        <v>3</v>
      </c>
      <c r="D64" s="271">
        <v>0</v>
      </c>
      <c r="E64" s="978">
        <f t="shared" si="7"/>
        <v>3</v>
      </c>
      <c r="F64" s="271"/>
      <c r="G64" s="271"/>
      <c r="H64" s="978">
        <f t="shared" si="6"/>
        <v>0</v>
      </c>
      <c r="I64" s="272"/>
      <c r="J64" s="979" cm="1">
        <f t="array" ref="J64">_xlfn.IFS(I64=Listes!$C$2,'1. DONNEES DE BASE'!$B$2*H64,'FT_PROD (1)'!I64=Listes!$C$3,'1. DONNEES DE BASE'!$B$3*'FT_PROD (1)'!H64,TRUE,0)</f>
        <v>0</v>
      </c>
    </row>
    <row r="65" spans="2:10" ht="13.8">
      <c r="B65" s="270" t="s">
        <v>44</v>
      </c>
      <c r="C65" s="271">
        <v>15</v>
      </c>
      <c r="D65" s="273">
        <v>120</v>
      </c>
      <c r="E65" s="978">
        <f t="shared" si="7"/>
        <v>135</v>
      </c>
      <c r="F65" s="271"/>
      <c r="G65" s="271">
        <v>2</v>
      </c>
      <c r="H65" s="978">
        <f t="shared" si="6"/>
        <v>4</v>
      </c>
      <c r="I65" s="272" t="s">
        <v>176</v>
      </c>
      <c r="J65" s="979" cm="1">
        <f t="array" ref="J65">_xlfn.IFS(I65=Listes!$C$2,'1. DONNEES DE BASE'!$B$2*H65,'FT_PROD (1)'!I65=Listes!$C$3,'1. DONNEES DE BASE'!$B$3*'FT_PROD (1)'!H65,TRUE,0)</f>
        <v>0.8</v>
      </c>
    </row>
    <row r="66" spans="2:10" ht="13.8">
      <c r="B66" s="270" t="s">
        <v>27</v>
      </c>
      <c r="C66" s="271">
        <v>120</v>
      </c>
      <c r="D66" s="271">
        <v>0</v>
      </c>
      <c r="E66" s="978">
        <f t="shared" si="7"/>
        <v>120</v>
      </c>
      <c r="F66" s="271"/>
      <c r="G66" s="271"/>
      <c r="H66" s="978">
        <f t="shared" si="6"/>
        <v>0</v>
      </c>
      <c r="I66" s="272"/>
      <c r="J66" s="979" cm="1">
        <f t="array" ref="J66">_xlfn.IFS(I66=Listes!$C$2,'1. DONNEES DE BASE'!$B$2*H66,'FT_PROD (1)'!I66=Listes!$C$3,'1. DONNEES DE BASE'!$B$3*'FT_PROD (1)'!H66,TRUE,0)</f>
        <v>0</v>
      </c>
    </row>
    <row r="67" spans="2:10" ht="13.8">
      <c r="B67" s="274" t="s">
        <v>167</v>
      </c>
      <c r="C67" s="271">
        <v>0</v>
      </c>
      <c r="D67" s="271">
        <v>0</v>
      </c>
      <c r="E67" s="978">
        <f t="shared" si="7"/>
        <v>0</v>
      </c>
      <c r="F67" s="271"/>
      <c r="G67" s="271"/>
      <c r="H67" s="978">
        <f t="shared" si="6"/>
        <v>0</v>
      </c>
      <c r="I67" s="272"/>
      <c r="J67" s="979" cm="1">
        <f t="array" ref="J67">_xlfn.IFS(I67=Listes!$C$2,'1. DONNEES DE BASE'!$B$2*H67,'FT_PROD (1)'!I67=Listes!$C$3,'1. DONNEES DE BASE'!$B$3*'FT_PROD (1)'!H67,TRUE,0)</f>
        <v>0</v>
      </c>
    </row>
    <row r="68" spans="2:10" ht="13.8">
      <c r="B68" s="274" t="s">
        <v>48</v>
      </c>
      <c r="C68" s="271">
        <v>0</v>
      </c>
      <c r="D68" s="271">
        <v>15</v>
      </c>
      <c r="E68" s="978">
        <f t="shared" si="7"/>
        <v>15</v>
      </c>
      <c r="F68" s="271" t="s">
        <v>171</v>
      </c>
      <c r="G68" s="271">
        <v>3.55</v>
      </c>
      <c r="H68" s="978">
        <f t="shared" si="6"/>
        <v>0.88749999999999996</v>
      </c>
      <c r="I68" s="272" t="s">
        <v>176</v>
      </c>
      <c r="J68" s="979" cm="1">
        <f t="array" ref="J68">_xlfn.IFS(I68=Listes!$C$2,'1. DONNEES DE BASE'!$B$2*H68,'FT_PROD (1)'!I68=Listes!$C$3,'1. DONNEES DE BASE'!$B$3*'FT_PROD (1)'!H68,TRUE,0)</f>
        <v>0.17749999999999999</v>
      </c>
    </row>
    <row r="69" spans="2:10" ht="13.8">
      <c r="B69" s="274" t="s">
        <v>283</v>
      </c>
      <c r="C69" s="271">
        <v>0</v>
      </c>
      <c r="D69" s="271">
        <v>0</v>
      </c>
      <c r="E69" s="978">
        <f t="shared" si="7"/>
        <v>0</v>
      </c>
      <c r="F69" s="271"/>
      <c r="G69" s="271"/>
      <c r="H69" s="978">
        <f t="shared" si="6"/>
        <v>0</v>
      </c>
      <c r="I69" s="272"/>
      <c r="J69" s="979" cm="1">
        <f t="array" ref="J69">_xlfn.IFS(I69=Listes!$C$2,'1. DONNEES DE BASE'!$B$2*H69,'FT_PROD (1)'!I69=Listes!$C$3,'1. DONNEES DE BASE'!$B$3*'FT_PROD (1)'!H69,TRUE,0)</f>
        <v>0</v>
      </c>
    </row>
    <row r="70" spans="2:10" ht="13.8">
      <c r="B70" s="274" t="s">
        <v>284</v>
      </c>
      <c r="C70" s="271">
        <v>0</v>
      </c>
      <c r="D70" s="271">
        <v>0</v>
      </c>
      <c r="E70" s="978">
        <f t="shared" si="7"/>
        <v>0</v>
      </c>
      <c r="F70" s="271"/>
      <c r="G70" s="271"/>
      <c r="H70" s="978">
        <f t="shared" si="6"/>
        <v>0</v>
      </c>
      <c r="I70" s="272"/>
      <c r="J70" s="979" cm="1">
        <f t="array" ref="J70">_xlfn.IFS(I70=Listes!$C$2,'1. DONNEES DE BASE'!$B$2*H70,'FT_PROD (1)'!I70=Listes!$C$3,'1. DONNEES DE BASE'!$B$3*'FT_PROD (1)'!H70,TRUE,0)</f>
        <v>0</v>
      </c>
    </row>
    <row r="71" spans="2:10" ht="13.8">
      <c r="B71" s="274" t="s">
        <v>285</v>
      </c>
      <c r="C71" s="271">
        <v>0</v>
      </c>
      <c r="D71" s="271">
        <v>0</v>
      </c>
      <c r="E71" s="978">
        <f t="shared" si="7"/>
        <v>0</v>
      </c>
      <c r="F71" s="271"/>
      <c r="G71" s="271"/>
      <c r="H71" s="978">
        <f t="shared" si="6"/>
        <v>0</v>
      </c>
      <c r="I71" s="272"/>
      <c r="J71" s="979" cm="1">
        <f t="array" ref="J71">_xlfn.IFS(I71=Listes!$C$2,'1. DONNEES DE BASE'!$B$2*H71,'FT_PROD (1)'!I71=Listes!$C$3,'1. DONNEES DE BASE'!$B$3*'FT_PROD (1)'!H71,TRUE,0)</f>
        <v>0</v>
      </c>
    </row>
    <row r="72" spans="2:10" ht="13.8">
      <c r="B72" s="274" t="s">
        <v>286</v>
      </c>
      <c r="C72" s="271">
        <v>0</v>
      </c>
      <c r="D72" s="271">
        <v>0</v>
      </c>
      <c r="E72" s="978">
        <f t="shared" si="7"/>
        <v>0</v>
      </c>
      <c r="F72" s="271"/>
      <c r="G72" s="271"/>
      <c r="H72" s="978">
        <f t="shared" si="6"/>
        <v>0</v>
      </c>
      <c r="I72" s="272"/>
      <c r="J72" s="979" cm="1">
        <f t="array" ref="J72">_xlfn.IFS(I72=Listes!$C$2,'1. DONNEES DE BASE'!$B$2*H72,'FT_PROD (1)'!I72=Listes!$C$3,'1. DONNEES DE BASE'!$B$3*'FT_PROD (1)'!H72,TRUE,0)</f>
        <v>0</v>
      </c>
    </row>
    <row r="73" spans="2:10" ht="14.4" thickBot="1">
      <c r="B73" s="980" t="s">
        <v>47</v>
      </c>
      <c r="C73" s="981">
        <f>SUM(C61:C72)</f>
        <v>288</v>
      </c>
      <c r="D73" s="981">
        <f>SUM(D61:D72)</f>
        <v>255</v>
      </c>
      <c r="E73" s="981">
        <f>SUM(E61:E72)</f>
        <v>543</v>
      </c>
      <c r="F73" s="981"/>
      <c r="G73" s="981"/>
      <c r="H73" s="981">
        <f>SUM(H61:H72)</f>
        <v>10.887499999999999</v>
      </c>
      <c r="I73" s="981"/>
      <c r="J73" s="10">
        <f>SUMIF(J61:J72,"&lt;&gt;#N/A")</f>
        <v>1.4593</v>
      </c>
    </row>
    <row r="76" spans="2:10">
      <c r="B76" s="275" t="s">
        <v>497</v>
      </c>
      <c r="C76" s="275"/>
    </row>
    <row r="77" spans="2:10">
      <c r="B77" s="276" t="s">
        <v>498</v>
      </c>
      <c r="C77" s="982">
        <f>SUMIFS(G17:G32,C17:C32,"Auto")</f>
        <v>175</v>
      </c>
    </row>
    <row r="78" spans="2:10">
      <c r="B78" s="276" t="s">
        <v>499</v>
      </c>
      <c r="C78" s="983">
        <f>C77/D8</f>
        <v>0.77777777777777779</v>
      </c>
    </row>
  </sheetData>
  <sheetProtection algorithmName="SHA-512" hashValue="DjGYLyorEsiFOhL0fJ7LXSRCfcfQ5Wttc7Lzv8zBY5osOzc3YaZ/4Jduh7KuMJ1L6thp1KGW6StgnsvN9iIQ+A==" saltValue="X7Tx4uZyjBhsSwr12hFBPg==" spinCount="100000" sheet="1" objects="1" scenarios="1" formatCells="0" formatColumns="0" formatRows="0" insertRows="0" insertHyperlinks="0" sort="0" autoFilter="0" pivotTables="0"/>
  <protectedRanges>
    <protectedRange sqref="I61:I72" name="TYpe energie"/>
    <protectedRange sqref="C2:C3 D5:D6 D8 D10:D11 G11:G12" name="Données de base"/>
    <protectedRange sqref="I17:K32 I34:K42 B34:F42 B17:F32" name="Ingred et consommables"/>
    <protectedRange sqref="B61:D72 F61:G72" name="Energie et travail"/>
  </protectedRanges>
  <mergeCells count="17">
    <mergeCell ref="B59:J59"/>
    <mergeCell ref="H10:J10"/>
    <mergeCell ref="H11:J11"/>
    <mergeCell ref="H12:J12"/>
    <mergeCell ref="H13:J13"/>
    <mergeCell ref="H4:J4"/>
    <mergeCell ref="H5:J5"/>
    <mergeCell ref="H6:J6"/>
    <mergeCell ref="H7:J7"/>
    <mergeCell ref="H8:J8"/>
    <mergeCell ref="H9:J9"/>
    <mergeCell ref="B44:F44"/>
    <mergeCell ref="I16:K16"/>
    <mergeCell ref="B48:G48"/>
    <mergeCell ref="B33:F33"/>
    <mergeCell ref="B43:F43"/>
    <mergeCell ref="I48:K48"/>
  </mergeCells>
  <dataValidations count="2">
    <dataValidation type="list" allowBlank="1" showInputMessage="1" showErrorMessage="1" errorTitle="Ingrédient invalide" error="Veuillez sélectionner un ingrédient dans la liste." sqref="B17:B32" xr:uid="{BC3B949D-3EE5-4FFF-AE2A-6D15A01C9B94}">
      <formula1>ListeIngredients</formula1>
    </dataValidation>
    <dataValidation type="list" allowBlank="1" showInputMessage="1" showErrorMessage="1" errorTitle="Consommable invalide" error="Veuillez sélectionner un consommable dans la liste." sqref="B34:B42" xr:uid="{EB05F69C-542A-4604-86D3-045C05AA138E}">
      <formula1>ListeConsommables</formula1>
    </dataValidation>
  </dataValidations>
  <pageMargins left="0.39370078740157483" right="0.39370078740157483" top="0.39370078740157483" bottom="0.39370078740157483" header="0.51181102362204722" footer="0.51181102362204722"/>
  <pageSetup paperSize="9" scale="65"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DB40721F-17B7-451E-9187-F0D196FB8417}">
          <x14:formula1>
            <xm:f>Listes!$C$2:$C$5</xm:f>
          </x14:formula1>
          <xm:sqref>I61:I63 I65:I72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12063-B7CF-4E8D-9738-B987C4E3B6EE}">
  <sheetPr>
    <pageSetUpPr fitToPage="1"/>
  </sheetPr>
  <dimension ref="B1:Q78"/>
  <sheetViews>
    <sheetView showGridLines="0" topLeftCell="A82" zoomScale="85" zoomScaleNormal="85" workbookViewId="0">
      <selection activeCell="F38" sqref="F38"/>
    </sheetView>
  </sheetViews>
  <sheetFormatPr baseColWidth="10" defaultColWidth="11.44140625" defaultRowHeight="13.2"/>
  <cols>
    <col min="1" max="1" width="1.44140625" style="219" customWidth="1"/>
    <col min="2" max="2" width="23.109375" style="219" customWidth="1"/>
    <col min="3" max="3" width="20" style="219" customWidth="1"/>
    <col min="4" max="4" width="19" style="219" customWidth="1"/>
    <col min="5" max="5" width="13.6640625" style="219" bestFit="1" customWidth="1"/>
    <col min="6" max="6" width="23.21875" style="219" customWidth="1"/>
    <col min="7" max="7" width="14.5546875" style="219" customWidth="1"/>
    <col min="8" max="8" width="14.109375" style="219" customWidth="1"/>
    <col min="9" max="9" width="17.33203125" style="219" customWidth="1"/>
    <col min="10" max="10" width="16.6640625" style="219" customWidth="1"/>
    <col min="11" max="11" width="12.109375" style="219" customWidth="1"/>
    <col min="12" max="16384" width="11.44140625" style="219"/>
  </cols>
  <sheetData>
    <row r="1" spans="2:11" ht="47.25" customHeight="1">
      <c r="B1" s="216" t="s">
        <v>37</v>
      </c>
      <c r="C1" s="217"/>
      <c r="D1" s="217"/>
      <c r="E1" s="217"/>
      <c r="F1" s="217"/>
      <c r="G1" s="217"/>
      <c r="H1" s="217"/>
      <c r="I1" s="217"/>
      <c r="J1" s="218"/>
    </row>
    <row r="2" spans="2:11" ht="16.2" customHeight="1">
      <c r="B2" s="220" t="s">
        <v>39</v>
      </c>
      <c r="C2" s="221" t="s">
        <v>289</v>
      </c>
      <c r="D2" s="222"/>
      <c r="E2" s="223"/>
      <c r="F2" s="217"/>
      <c r="G2" s="217"/>
      <c r="H2" s="217"/>
      <c r="I2" s="217"/>
    </row>
    <row r="3" spans="2:11" ht="18.75" customHeight="1">
      <c r="B3" s="220" t="s">
        <v>23</v>
      </c>
      <c r="C3" s="221" t="s">
        <v>517</v>
      </c>
      <c r="D3" s="222"/>
      <c r="E3" s="223"/>
      <c r="F3" s="217"/>
      <c r="G3" s="217"/>
      <c r="H3" s="217"/>
      <c r="I3" s="217"/>
    </row>
    <row r="4" spans="2:11" ht="18.75" customHeight="1">
      <c r="B4" s="224"/>
      <c r="C4" s="217"/>
      <c r="D4" s="217"/>
      <c r="F4" s="217"/>
      <c r="G4" s="217"/>
      <c r="H4" s="434" t="s">
        <v>287</v>
      </c>
      <c r="I4" s="434"/>
      <c r="J4" s="434"/>
    </row>
    <row r="5" spans="2:11" ht="19.95" customHeight="1">
      <c r="B5" s="220" t="s">
        <v>265</v>
      </c>
      <c r="C5" s="225"/>
      <c r="D5" s="226">
        <v>50</v>
      </c>
      <c r="E5" s="227"/>
      <c r="F5" s="228"/>
      <c r="G5" s="229"/>
      <c r="H5" s="435" t="s">
        <v>266</v>
      </c>
      <c r="I5" s="428"/>
      <c r="J5" s="428"/>
    </row>
    <row r="6" spans="2:11" ht="19.95" customHeight="1">
      <c r="B6" s="220" t="s">
        <v>267</v>
      </c>
      <c r="C6" s="225"/>
      <c r="D6" s="230">
        <v>0.2</v>
      </c>
      <c r="E6" s="227"/>
      <c r="F6" s="228"/>
      <c r="G6" s="229"/>
      <c r="H6" s="428"/>
      <c r="I6" s="428"/>
      <c r="J6" s="428"/>
    </row>
    <row r="7" spans="2:11" ht="19.95" customHeight="1">
      <c r="B7" s="220" t="s">
        <v>35</v>
      </c>
      <c r="C7" s="225"/>
      <c r="D7" s="965">
        <f>D5/D6</f>
        <v>250</v>
      </c>
      <c r="E7" s="227"/>
      <c r="F7" s="228"/>
      <c r="G7" s="229"/>
      <c r="H7" s="428"/>
      <c r="I7" s="428"/>
      <c r="J7" s="428"/>
    </row>
    <row r="8" spans="2:11" ht="19.95" customHeight="1">
      <c r="B8" s="220" t="s">
        <v>36</v>
      </c>
      <c r="C8" s="225"/>
      <c r="D8" s="230">
        <v>225</v>
      </c>
      <c r="E8" s="227"/>
      <c r="F8" s="228"/>
      <c r="G8" s="229"/>
      <c r="H8" s="428" t="s">
        <v>268</v>
      </c>
      <c r="I8" s="428"/>
      <c r="J8" s="428"/>
    </row>
    <row r="9" spans="2:11" ht="19.95" customHeight="1">
      <c r="B9" s="220" t="s">
        <v>34</v>
      </c>
      <c r="C9" s="225"/>
      <c r="D9" s="4">
        <f>1-(D8/D7)</f>
        <v>9.9999999999999978E-2</v>
      </c>
      <c r="E9" s="227"/>
      <c r="F9" s="228"/>
      <c r="G9" s="229"/>
      <c r="H9" s="428" t="s">
        <v>269</v>
      </c>
      <c r="I9" s="428"/>
      <c r="J9" s="428"/>
    </row>
    <row r="10" spans="2:11" ht="19.95" customHeight="1">
      <c r="B10" s="220" t="s">
        <v>25</v>
      </c>
      <c r="C10" s="225"/>
      <c r="D10" s="231">
        <v>4.0599999999999996</v>
      </c>
      <c r="E10" s="220" t="s">
        <v>32</v>
      </c>
      <c r="F10" s="232"/>
      <c r="G10" s="966">
        <f>G12/(1+G11)</f>
        <v>4.6698113207547172</v>
      </c>
      <c r="H10" s="428"/>
      <c r="I10" s="428"/>
      <c r="J10" s="428"/>
    </row>
    <row r="11" spans="2:11" ht="19.95" customHeight="1">
      <c r="B11" s="220" t="s">
        <v>3</v>
      </c>
      <c r="C11" s="225"/>
      <c r="D11" s="233">
        <v>0.06</v>
      </c>
      <c r="E11" s="220" t="s">
        <v>3</v>
      </c>
      <c r="F11" s="232"/>
      <c r="G11" s="234">
        <v>0.06</v>
      </c>
      <c r="H11" s="428"/>
      <c r="I11" s="428"/>
      <c r="J11" s="428"/>
    </row>
    <row r="12" spans="2:11" ht="19.95" customHeight="1">
      <c r="B12" s="220" t="s">
        <v>33</v>
      </c>
      <c r="C12" s="225"/>
      <c r="D12" s="967">
        <f>D10*(1+D11)</f>
        <v>4.3035999999999994</v>
      </c>
      <c r="E12" s="220" t="s">
        <v>24</v>
      </c>
      <c r="F12" s="232"/>
      <c r="G12" s="235">
        <v>4.95</v>
      </c>
      <c r="H12" s="428"/>
      <c r="I12" s="428"/>
      <c r="J12" s="428"/>
    </row>
    <row r="13" spans="2:11" ht="19.95" customHeight="1">
      <c r="B13" s="220" t="s">
        <v>270</v>
      </c>
      <c r="C13" s="225"/>
      <c r="D13" s="4">
        <f>G10/D10-1</f>
        <v>0.15019983269820636</v>
      </c>
      <c r="E13" s="236"/>
      <c r="F13" s="236"/>
      <c r="G13" s="236"/>
      <c r="H13" s="428" t="s">
        <v>271</v>
      </c>
      <c r="I13" s="428"/>
      <c r="J13" s="428"/>
    </row>
    <row r="14" spans="2:11" ht="18.75" customHeight="1">
      <c r="B14" s="236"/>
      <c r="C14" s="236"/>
      <c r="D14" s="236"/>
      <c r="E14" s="236"/>
      <c r="F14" s="236"/>
      <c r="G14" s="236"/>
      <c r="H14" s="236"/>
      <c r="I14" s="236"/>
    </row>
    <row r="15" spans="2:11" ht="6.75" customHeight="1" thickBot="1"/>
    <row r="16" spans="2:11" s="951" customFormat="1" ht="45" customHeight="1">
      <c r="B16" s="237" t="s">
        <v>4</v>
      </c>
      <c r="C16" s="238" t="s">
        <v>5</v>
      </c>
      <c r="D16" s="239" t="s">
        <v>6</v>
      </c>
      <c r="E16" s="239" t="s">
        <v>7</v>
      </c>
      <c r="F16" s="239" t="s">
        <v>8</v>
      </c>
      <c r="G16" s="239" t="s">
        <v>281</v>
      </c>
      <c r="H16" s="240" t="s">
        <v>30</v>
      </c>
      <c r="I16" s="429" t="s">
        <v>22</v>
      </c>
      <c r="J16" s="429"/>
      <c r="K16" s="430"/>
    </row>
    <row r="17" spans="2:11" s="252" customFormat="1" ht="17.25" customHeight="1">
      <c r="B17" s="208" t="s">
        <v>14</v>
      </c>
      <c r="C17" s="968" t="str">
        <f>IF(ISBLANK(B17),"",_xlfn.XLOOKUP(B17,tblIngredients[Article],tblIngredients[Fournisseur],""))</f>
        <v>Auto</v>
      </c>
      <c r="D17" s="969" t="str">
        <f>IF(ISBLANK(B17),"",_xlfn.XLOOKUP(B17,tblIngredients[Article],tblIngredients[Unité conditionnement],""))</f>
        <v>1 kg</v>
      </c>
      <c r="E17" s="970">
        <f>IF(ISBLANK(B17),"",_xlfn.XLOOKUP(B17,tblIngredients[Article],tblIngredients[Coût d''achat HTVA  à l''unité],""))</f>
        <v>3.5</v>
      </c>
      <c r="F17" s="241">
        <v>50</v>
      </c>
      <c r="G17" s="971">
        <f>IF(OR(F17="",ISBLANK(F17)),"",E17*F17)</f>
        <v>175</v>
      </c>
      <c r="H17" s="5">
        <f>IF(OR(G17="",ISBLANK(G17)),"",G17/G$33)</f>
        <v>0.92115565556674106</v>
      </c>
      <c r="I17" s="242" t="s">
        <v>272</v>
      </c>
      <c r="J17" s="243"/>
      <c r="K17" s="244"/>
    </row>
    <row r="18" spans="2:11" s="252" customFormat="1" ht="17.25" customHeight="1">
      <c r="B18" s="208" t="s">
        <v>15</v>
      </c>
      <c r="C18" s="968" t="str">
        <f>IF(ISBLANK(B18),"",_xlfn.XLOOKUP(B18,tblIngredients[Article],tblIngredients[Fournisseur],""))</f>
        <v>Inbterbio</v>
      </c>
      <c r="D18" s="969" t="str">
        <f>IF(ISBLANK(B18),"",_xlfn.XLOOKUP(B18,tblIngredients[Article],tblIngredients[Unité conditionnement],""))</f>
        <v>1 kg</v>
      </c>
      <c r="E18" s="970">
        <f>IF(ISBLANK(B18),"",_xlfn.XLOOKUP(B18,tblIngredients[Article],tblIngredients[Coût d''achat HTVA  à l''unité],""))</f>
        <v>6</v>
      </c>
      <c r="F18" s="241">
        <v>0.5</v>
      </c>
      <c r="G18" s="971">
        <f t="shared" ref="G18:G32" si="0">IF(OR(F18="",ISBLANK(F18)),"",E18*F18)</f>
        <v>3</v>
      </c>
      <c r="H18" s="5">
        <f t="shared" ref="H18:H32" si="1">IF(OR(G18="",ISBLANK(G18)),"",G18/G$33)</f>
        <v>1.5791239809715561E-2</v>
      </c>
      <c r="I18" s="245"/>
      <c r="J18" s="243"/>
      <c r="K18" s="244"/>
    </row>
    <row r="19" spans="2:11" s="252" customFormat="1" ht="17.25" customHeight="1">
      <c r="B19" s="208" t="s">
        <v>16</v>
      </c>
      <c r="C19" s="968" t="str">
        <f>IF(ISBLANK(B19),"",_xlfn.XLOOKUP(B19,tblIngredients[Article],tblIngredients[Fournisseur],""))</f>
        <v>Interbio</v>
      </c>
      <c r="D19" s="969" t="str">
        <f>IF(ISBLANK(B19),"",_xlfn.XLOOKUP(B19,tblIngredients[Article],tblIngredients[Unité conditionnement],""))</f>
        <v>1 Botte</v>
      </c>
      <c r="E19" s="970">
        <f>IF(ISBLANK(B19),"",_xlfn.XLOOKUP(B19,tblIngredients[Article],tblIngredients[Coût d''achat HTVA  à l''unité],""))</f>
        <v>1.89</v>
      </c>
      <c r="F19" s="241">
        <v>4</v>
      </c>
      <c r="G19" s="971">
        <f t="shared" si="0"/>
        <v>7.56</v>
      </c>
      <c r="H19" s="5">
        <f t="shared" si="1"/>
        <v>3.9793924320483211E-2</v>
      </c>
      <c r="I19" s="245"/>
      <c r="J19" s="243"/>
      <c r="K19" s="244"/>
    </row>
    <row r="20" spans="2:11" s="252" customFormat="1" ht="17.25" customHeight="1">
      <c r="B20" s="208" t="s">
        <v>17</v>
      </c>
      <c r="C20" s="968" t="str">
        <f>IF(ISBLANK(B20),"",_xlfn.XLOOKUP(B20,tblIngredients[Article],tblIngredients[Fournisseur],""))</f>
        <v>Solucious</v>
      </c>
      <c r="D20" s="969" t="str">
        <f>IF(ISBLANK(B20),"",_xlfn.XLOOKUP(B20,tblIngredients[Article],tblIngredients[Unité conditionnement],""))</f>
        <v>1 L</v>
      </c>
      <c r="E20" s="970">
        <f>IF(ISBLANK(B20),"",_xlfn.XLOOKUP(B20,tblIngredients[Article],tblIngredients[Coût d''achat HTVA  à l''unité],""))</f>
        <v>17.649999999999999</v>
      </c>
      <c r="F20" s="241">
        <v>0.25</v>
      </c>
      <c r="G20" s="971">
        <f t="shared" si="0"/>
        <v>4.4124999999999996</v>
      </c>
      <c r="H20" s="5">
        <f t="shared" si="1"/>
        <v>2.3226281886789969E-2</v>
      </c>
      <c r="I20" s="245"/>
      <c r="J20" s="243"/>
      <c r="K20" s="244"/>
    </row>
    <row r="21" spans="2:11" s="252" customFormat="1" ht="17.25" customHeight="1">
      <c r="B21" s="208" t="s">
        <v>359</v>
      </c>
      <c r="C21" s="968" t="str">
        <f>IF(ISBLANK(B21),"",_xlfn.XLOOKUP(B21,tblIngredients[Article],tblIngredients[Fournisseur],""))</f>
        <v>Solucious</v>
      </c>
      <c r="D21" s="969" t="str">
        <f>IF(ISBLANK(B21),"",_xlfn.XLOOKUP(B21,tblIngredients[Article],tblIngredients[Unité conditionnement],""))</f>
        <v>1 Kg</v>
      </c>
      <c r="E21" s="970">
        <f>IF(ISBLANK(B21),"",_xlfn.XLOOKUP(B21,tblIngredients[Article],tblIngredients[Coût d''achat HTVA  à l''unité],""))</f>
        <v>6.25</v>
      </c>
      <c r="F21" s="241">
        <v>1E-3</v>
      </c>
      <c r="G21" s="971">
        <f t="shared" si="0"/>
        <v>6.2500000000000003E-3</v>
      </c>
      <c r="H21" s="5">
        <f t="shared" si="1"/>
        <v>3.2898416270240753E-5</v>
      </c>
      <c r="I21" s="245"/>
      <c r="J21" s="243"/>
      <c r="K21" s="244"/>
    </row>
    <row r="22" spans="2:11" s="252" customFormat="1" ht="17.25" customHeight="1">
      <c r="B22" s="208"/>
      <c r="C22" s="968" t="str">
        <f>IF(ISBLANK(B22),"",_xlfn.XLOOKUP(B22,tblIngredients[Article],tblIngredients[Fournisseur],""))</f>
        <v/>
      </c>
      <c r="D22" s="969" t="str">
        <f>IF(ISBLANK(B22),"",_xlfn.XLOOKUP(B22,tblIngredients[Article],tblIngredients[Unité conditionnement],""))</f>
        <v/>
      </c>
      <c r="E22" s="970" t="str">
        <f>IF(ISBLANK(B22),"",_xlfn.XLOOKUP(B22,tblIngredients[Article],tblIngredients[Coût d''achat HTVA  à l''unité],""))</f>
        <v/>
      </c>
      <c r="F22" s="241"/>
      <c r="G22" s="971" t="str">
        <f t="shared" si="0"/>
        <v/>
      </c>
      <c r="H22" s="5" t="str">
        <f t="shared" si="1"/>
        <v/>
      </c>
      <c r="I22" s="245"/>
      <c r="J22" s="243"/>
      <c r="K22" s="244"/>
    </row>
    <row r="23" spans="2:11" s="252" customFormat="1" ht="17.25" customHeight="1">
      <c r="B23" s="208"/>
      <c r="C23" s="968" t="str">
        <f>IF(ISBLANK(B23),"",_xlfn.XLOOKUP(B23,tblIngredients[Article],tblIngredients[Fournisseur],""))</f>
        <v/>
      </c>
      <c r="D23" s="969" t="str">
        <f>IF(ISBLANK(B23),"",_xlfn.XLOOKUP(B23,tblIngredients[Article],tblIngredients[Unité conditionnement],""))</f>
        <v/>
      </c>
      <c r="E23" s="970" t="str">
        <f>IF(ISBLANK(B23),"",_xlfn.XLOOKUP(B23,tblIngredients[Article],tblIngredients[Coût d''achat HTVA  à l''unité],""))</f>
        <v/>
      </c>
      <c r="F23" s="241"/>
      <c r="G23" s="971" t="str">
        <f t="shared" si="0"/>
        <v/>
      </c>
      <c r="H23" s="5" t="str">
        <f t="shared" si="1"/>
        <v/>
      </c>
      <c r="I23" s="245"/>
      <c r="J23" s="243"/>
      <c r="K23" s="244"/>
    </row>
    <row r="24" spans="2:11" s="252" customFormat="1" ht="17.25" customHeight="1">
      <c r="B24" s="208"/>
      <c r="C24" s="968" t="str">
        <f>IF(ISBLANK(B24),"",_xlfn.XLOOKUP(B24,tblIngredients[Article],tblIngredients[Fournisseur],""))</f>
        <v/>
      </c>
      <c r="D24" s="969" t="str">
        <f>IF(ISBLANK(B24),"",_xlfn.XLOOKUP(B24,tblIngredients[Article],tblIngredients[Unité conditionnement],""))</f>
        <v/>
      </c>
      <c r="E24" s="970" t="str">
        <f>IF(ISBLANK(B24),"",_xlfn.XLOOKUP(B24,tblIngredients[Article],tblIngredients[Coût d''achat HTVA  à l''unité],""))</f>
        <v/>
      </c>
      <c r="F24" s="241"/>
      <c r="G24" s="971" t="str">
        <f t="shared" si="0"/>
        <v/>
      </c>
      <c r="H24" s="5" t="str">
        <f t="shared" si="1"/>
        <v/>
      </c>
      <c r="I24" s="245"/>
      <c r="J24" s="243"/>
      <c r="K24" s="244"/>
    </row>
    <row r="25" spans="2:11" s="252" customFormat="1" ht="17.25" customHeight="1">
      <c r="B25" s="208"/>
      <c r="C25" s="968" t="str">
        <f>IF(ISBLANK(B25),"",_xlfn.XLOOKUP(B25,tblIngredients[Article],tblIngredients[Fournisseur],""))</f>
        <v/>
      </c>
      <c r="D25" s="969" t="str">
        <f>IF(ISBLANK(B25),"",_xlfn.XLOOKUP(B25,tblIngredients[Article],tblIngredients[Unité conditionnement],""))</f>
        <v/>
      </c>
      <c r="E25" s="970" t="str">
        <f>IF(ISBLANK(B25),"",_xlfn.XLOOKUP(B25,tblIngredients[Article],tblIngredients[Coût d''achat HTVA  à l''unité],""))</f>
        <v/>
      </c>
      <c r="F25" s="241"/>
      <c r="G25" s="971" t="str">
        <f t="shared" si="0"/>
        <v/>
      </c>
      <c r="H25" s="5" t="str">
        <f t="shared" si="1"/>
        <v/>
      </c>
      <c r="I25" s="245"/>
      <c r="J25" s="243"/>
      <c r="K25" s="244"/>
    </row>
    <row r="26" spans="2:11" s="252" customFormat="1" ht="17.25" customHeight="1">
      <c r="B26" s="208"/>
      <c r="C26" s="968" t="str">
        <f>IF(ISBLANK(B26),"",_xlfn.XLOOKUP(B26,tblIngredients[Article],tblIngredients[Fournisseur],""))</f>
        <v/>
      </c>
      <c r="D26" s="969" t="str">
        <f>IF(ISBLANK(B26),"",_xlfn.XLOOKUP(B26,tblIngredients[Article],tblIngredients[Unité conditionnement],""))</f>
        <v/>
      </c>
      <c r="E26" s="970" t="str">
        <f>IF(ISBLANK(B26),"",_xlfn.XLOOKUP(B26,tblIngredients[Article],tblIngredients[Coût d''achat HTVA  à l''unité],""))</f>
        <v/>
      </c>
      <c r="F26" s="241"/>
      <c r="G26" s="971" t="str">
        <f t="shared" si="0"/>
        <v/>
      </c>
      <c r="H26" s="5" t="str">
        <f t="shared" si="1"/>
        <v/>
      </c>
      <c r="I26" s="245"/>
      <c r="J26" s="243"/>
      <c r="K26" s="244"/>
    </row>
    <row r="27" spans="2:11" s="252" customFormat="1" ht="17.25" customHeight="1">
      <c r="B27" s="208"/>
      <c r="C27" s="968" t="str">
        <f>IF(ISBLANK(B27),"",_xlfn.XLOOKUP(B27,tblIngredients[Article],tblIngredients[Fournisseur],""))</f>
        <v/>
      </c>
      <c r="D27" s="969" t="str">
        <f>IF(ISBLANK(B27),"",_xlfn.XLOOKUP(B27,tblIngredients[Article],tblIngredients[Unité conditionnement],""))</f>
        <v/>
      </c>
      <c r="E27" s="970" t="str">
        <f>IF(ISBLANK(B27),"",_xlfn.XLOOKUP(B27,tblIngredients[Article],tblIngredients[Coût d''achat HTVA  à l''unité],""))</f>
        <v/>
      </c>
      <c r="F27" s="241"/>
      <c r="G27" s="971" t="str">
        <f t="shared" si="0"/>
        <v/>
      </c>
      <c r="H27" s="5" t="str">
        <f t="shared" si="1"/>
        <v/>
      </c>
      <c r="I27" s="245"/>
      <c r="J27" s="243"/>
      <c r="K27" s="244"/>
    </row>
    <row r="28" spans="2:11" s="252" customFormat="1" ht="17.25" customHeight="1">
      <c r="B28" s="208"/>
      <c r="C28" s="968"/>
      <c r="D28" s="969"/>
      <c r="E28" s="970"/>
      <c r="F28" s="241"/>
      <c r="G28" s="971"/>
      <c r="H28" s="5"/>
      <c r="I28" s="245"/>
      <c r="J28" s="243"/>
      <c r="K28" s="244"/>
    </row>
    <row r="29" spans="2:11" s="252" customFormat="1" ht="17.25" customHeight="1">
      <c r="B29" s="208"/>
      <c r="C29" s="968" t="str">
        <f>IF(ISBLANK(B29),"",_xlfn.XLOOKUP(B29,tblIngredients[Article],tblIngredients[Fournisseur],""))</f>
        <v/>
      </c>
      <c r="D29" s="969" t="str">
        <f>IF(ISBLANK(B29),"",_xlfn.XLOOKUP(B29,tblIngredients[Article],tblIngredients[Unité conditionnement],""))</f>
        <v/>
      </c>
      <c r="E29" s="970" t="str">
        <f>IF(ISBLANK(B29),"",_xlfn.XLOOKUP(B29,tblIngredients[Article],tblIngredients[Coût d''achat HTVA  à l''unité],""))</f>
        <v/>
      </c>
      <c r="F29" s="241"/>
      <c r="G29" s="971" t="str">
        <f t="shared" si="0"/>
        <v/>
      </c>
      <c r="H29" s="5" t="str">
        <f t="shared" si="1"/>
        <v/>
      </c>
      <c r="I29" s="245"/>
      <c r="J29" s="243"/>
      <c r="K29" s="244"/>
    </row>
    <row r="30" spans="2:11" s="252" customFormat="1" ht="17.25" customHeight="1">
      <c r="B30" s="208"/>
      <c r="C30" s="968" t="str">
        <f>IF(ISBLANK(B30),"",_xlfn.XLOOKUP(B30,tblIngredients[Article],tblIngredients[Fournisseur],""))</f>
        <v/>
      </c>
      <c r="D30" s="969" t="str">
        <f>IF(ISBLANK(B30),"",_xlfn.XLOOKUP(B30,tblIngredients[Article],tblIngredients[Unité conditionnement],""))</f>
        <v/>
      </c>
      <c r="E30" s="970" t="str">
        <f>IF(ISBLANK(B30),"",_xlfn.XLOOKUP(B30,tblIngredients[Article],tblIngredients[Coût d''achat HTVA  à l''unité],""))</f>
        <v/>
      </c>
      <c r="F30" s="241"/>
      <c r="G30" s="971" t="str">
        <f t="shared" si="0"/>
        <v/>
      </c>
      <c r="H30" s="5" t="str">
        <f t="shared" si="1"/>
        <v/>
      </c>
      <c r="I30" s="245"/>
      <c r="J30" s="243"/>
      <c r="K30" s="244"/>
    </row>
    <row r="31" spans="2:11" s="252" customFormat="1" ht="17.25" customHeight="1">
      <c r="B31" s="208"/>
      <c r="C31" s="968" t="str">
        <f>IF(ISBLANK(B31),"",_xlfn.XLOOKUP(B31,tblIngredients[Article],tblIngredients[Fournisseur],""))</f>
        <v/>
      </c>
      <c r="D31" s="969" t="str">
        <f>IF(ISBLANK(B31),"",_xlfn.XLOOKUP(B31,tblIngredients[Article],tblIngredients[Unité conditionnement],""))</f>
        <v/>
      </c>
      <c r="E31" s="970" t="str">
        <f>IF(ISBLANK(B31),"",_xlfn.XLOOKUP(B31,tblIngredients[Article],tblIngredients[Coût d''achat HTVA  à l''unité],""))</f>
        <v/>
      </c>
      <c r="F31" s="241"/>
      <c r="G31" s="971" t="str">
        <f t="shared" si="0"/>
        <v/>
      </c>
      <c r="H31" s="5" t="str">
        <f t="shared" si="1"/>
        <v/>
      </c>
      <c r="I31" s="245"/>
      <c r="J31" s="243"/>
      <c r="K31" s="244"/>
    </row>
    <row r="32" spans="2:11" s="252" customFormat="1" ht="17.25" customHeight="1">
      <c r="B32" s="208"/>
      <c r="C32" s="968" t="str">
        <f>IF(ISBLANK(B32),"",_xlfn.XLOOKUP(B32,tblIngredients[Article],tblIngredients[Fournisseur],""))</f>
        <v/>
      </c>
      <c r="D32" s="969" t="str">
        <f>IF(ISBLANK(B32),"",_xlfn.XLOOKUP(B32,tblIngredients[Article],tblIngredients[Unité conditionnement],""))</f>
        <v/>
      </c>
      <c r="E32" s="970" t="str">
        <f>IF(ISBLANK(B32),"",_xlfn.XLOOKUP(B32,tblIngredients[Article],tblIngredients[Coût d''achat HTVA  à l''unité],""))</f>
        <v/>
      </c>
      <c r="F32" s="241"/>
      <c r="G32" s="971" t="str">
        <f t="shared" si="0"/>
        <v/>
      </c>
      <c r="H32" s="5" t="str">
        <f t="shared" si="1"/>
        <v/>
      </c>
      <c r="I32" s="245"/>
      <c r="J32" s="243"/>
      <c r="K32" s="244"/>
    </row>
    <row r="33" spans="2:11" s="252" customFormat="1" ht="17.25" customHeight="1">
      <c r="B33" s="952" t="s">
        <v>29</v>
      </c>
      <c r="C33" s="952"/>
      <c r="D33" s="952"/>
      <c r="E33" s="952"/>
      <c r="F33" s="952"/>
      <c r="G33" s="953">
        <f>SUM(G17:G32)</f>
        <v>189.97874999999999</v>
      </c>
      <c r="H33" s="954">
        <f>IF(G33="","",G33/G$45)</f>
        <v>0.72032302138783477</v>
      </c>
      <c r="I33" s="955"/>
      <c r="J33" s="956"/>
      <c r="K33" s="957"/>
    </row>
    <row r="34" spans="2:11" s="252" customFormat="1" ht="17.25" customHeight="1">
      <c r="B34" s="208" t="s">
        <v>19</v>
      </c>
      <c r="C34" s="968" t="str">
        <f>IF(ISBLANK(B34),"",_xlfn.XLOOKUP(B34,tblConsommables[Article],tblConsommables[Fournisseur],""))</f>
        <v>Grossiste</v>
      </c>
      <c r="D34" s="969" t="str">
        <f>IF(ISBLANK(B34),"",_xlfn.XLOOKUP(B34,tblConsommables[Article],tblConsommables[Unité conditionnement],""))</f>
        <v>Unité</v>
      </c>
      <c r="E34" s="970">
        <f>IF(ISBLANK(B34),"",_xlfn.XLOOKUP(B34,tblConsommables[Article],tblConsommables[Coût d''achat HTVA  à l''unité],""))</f>
        <v>0.154</v>
      </c>
      <c r="F34" s="246">
        <v>230</v>
      </c>
      <c r="G34" s="972">
        <f>IF(OR(F34="",ISBLANK(F34)),"",E34*F34)</f>
        <v>35.42</v>
      </c>
      <c r="H34" s="6">
        <f>IF(OR(G34="",ISBLANK(G34)),"",G34/G$43)</f>
        <v>0.48988285410010646</v>
      </c>
      <c r="I34" s="245"/>
      <c r="J34" s="243"/>
      <c r="K34" s="247"/>
    </row>
    <row r="35" spans="2:11" s="252" customFormat="1" ht="17.25" customHeight="1">
      <c r="B35" s="208" t="s">
        <v>38</v>
      </c>
      <c r="C35" s="968" t="str">
        <f>IF(ISBLANK(B35),"",_xlfn.XLOOKUP(B35,tblConsommables[Article],tblConsommables[Fournisseur],""))</f>
        <v>Grossiste</v>
      </c>
      <c r="D35" s="969" t="str">
        <f>IF(ISBLANK(B35),"",_xlfn.XLOOKUP(B35,tblConsommables[Article],tblConsommables[Unité conditionnement],""))</f>
        <v>Unité</v>
      </c>
      <c r="E35" s="970">
        <f>IF(ISBLANK(B35),"",_xlfn.XLOOKUP(B35,tblConsommables[Article],tblConsommables[Coût d''achat HTVA  à l''unité],""))</f>
        <v>0.12</v>
      </c>
      <c r="F35" s="246">
        <v>250</v>
      </c>
      <c r="G35" s="972">
        <f t="shared" ref="G35:G42" si="2">IF(OR(F35="",ISBLANK(F35)),"",E35*F35)</f>
        <v>30</v>
      </c>
      <c r="H35" s="6">
        <f t="shared" ref="H35:H42" si="3">IF(OR(G35="",ISBLANK(G35)),"",G35/G$43)</f>
        <v>0.41492054271606982</v>
      </c>
      <c r="I35" s="245"/>
      <c r="J35" s="243"/>
      <c r="K35" s="247"/>
    </row>
    <row r="36" spans="2:11" s="252" customFormat="1" ht="17.25" customHeight="1">
      <c r="B36" s="208" t="s">
        <v>27</v>
      </c>
      <c r="C36" s="968" t="str">
        <f>IF(ISBLANK(B36),"",_xlfn.XLOOKUP(B36,tblConsommables[Article],tblConsommables[Fournisseur],""))</f>
        <v>Grossiste</v>
      </c>
      <c r="D36" s="969" t="str">
        <f>IF(ISBLANK(B36),"",_xlfn.XLOOKUP(B36,tblConsommables[Article],tblConsommables[Unité conditionnement],""))</f>
        <v>Rack de 1000</v>
      </c>
      <c r="E36" s="970">
        <f>IF(ISBLANK(B36),"",_xlfn.XLOOKUP(B36,tblConsommables[Article],tblConsommables[Coût d''achat HTVA  à l''unité],""))</f>
        <v>27.3</v>
      </c>
      <c r="F36" s="246">
        <v>0.25</v>
      </c>
      <c r="G36" s="972">
        <f t="shared" si="2"/>
        <v>6.8250000000000002</v>
      </c>
      <c r="H36" s="6">
        <f t="shared" si="3"/>
        <v>9.4394423467905886E-2</v>
      </c>
      <c r="I36" s="245"/>
      <c r="J36" s="243"/>
      <c r="K36" s="247"/>
    </row>
    <row r="37" spans="2:11" s="252" customFormat="1" ht="17.25" customHeight="1">
      <c r="B37" s="208" t="s">
        <v>370</v>
      </c>
      <c r="C37" s="968" t="str">
        <f>IF(ISBLANK(B37),"",_xlfn.XLOOKUP(B37,tblConsommables[Article],tblConsommables[Fournisseur],""))</f>
        <v>Grossiste</v>
      </c>
      <c r="D37" s="969" t="str">
        <f>IF(ISBLANK(B37),"",_xlfn.XLOOKUP(B37,tblConsommables[Article],tblConsommables[Unité conditionnement],""))</f>
        <v>Rack de 1000</v>
      </c>
      <c r="E37" s="970">
        <f>IF(ISBLANK(B37),"",_xlfn.XLOOKUP(B37,tblConsommables[Article],tblConsommables[Coût d''achat HTVA  à l''unité],""))</f>
        <v>58</v>
      </c>
      <c r="F37" s="246">
        <v>1E-3</v>
      </c>
      <c r="G37" s="972">
        <f t="shared" si="2"/>
        <v>5.8000000000000003E-2</v>
      </c>
      <c r="H37" s="6">
        <f t="shared" si="3"/>
        <v>8.0217971591773501E-4</v>
      </c>
      <c r="I37" s="245"/>
      <c r="J37" s="243"/>
      <c r="K37" s="247"/>
    </row>
    <row r="38" spans="2:11" s="252" customFormat="1" ht="17.25" customHeight="1">
      <c r="B38" s="208"/>
      <c r="C38" s="968" t="str">
        <f>IF(ISBLANK(B38),"",_xlfn.XLOOKUP(B38,tblConsommables[Article],tblConsommables[Fournisseur],""))</f>
        <v/>
      </c>
      <c r="D38" s="969" t="str">
        <f>IF(ISBLANK(B38),"",_xlfn.XLOOKUP(B38,tblConsommables[Article],tblConsommables[Unité conditionnement],""))</f>
        <v/>
      </c>
      <c r="E38" s="970" t="str">
        <f>IF(ISBLANK(B38),"",_xlfn.XLOOKUP(B38,tblConsommables[Article],tblConsommables[Coût d''achat HTVA  à l''unité],""))</f>
        <v/>
      </c>
      <c r="F38" s="246"/>
      <c r="G38" s="972" t="str">
        <f t="shared" si="2"/>
        <v/>
      </c>
      <c r="H38" s="6" t="str">
        <f t="shared" si="3"/>
        <v/>
      </c>
      <c r="I38" s="245"/>
      <c r="J38" s="243"/>
      <c r="K38" s="247"/>
    </row>
    <row r="39" spans="2:11" s="252" customFormat="1" ht="17.25" customHeight="1">
      <c r="B39" s="208"/>
      <c r="C39" s="968" t="str">
        <f>IF(ISBLANK(B39),"",_xlfn.XLOOKUP(B39,tblConsommables[Article],tblConsommables[Fournisseur],""))</f>
        <v/>
      </c>
      <c r="D39" s="969" t="str">
        <f>IF(ISBLANK(B39),"",_xlfn.XLOOKUP(B39,tblConsommables[Article],tblConsommables[Unité conditionnement],""))</f>
        <v/>
      </c>
      <c r="E39" s="970" t="str">
        <f>IF(ISBLANK(B39),"",_xlfn.XLOOKUP(B39,tblConsommables[Article],tblConsommables[Coût d''achat HTVA  à l''unité],""))</f>
        <v/>
      </c>
      <c r="F39" s="246"/>
      <c r="G39" s="972" t="str">
        <f t="shared" si="2"/>
        <v/>
      </c>
      <c r="H39" s="6" t="str">
        <f t="shared" si="3"/>
        <v/>
      </c>
      <c r="I39" s="245"/>
      <c r="J39" s="243"/>
      <c r="K39" s="247"/>
    </row>
    <row r="40" spans="2:11" s="252" customFormat="1" ht="17.25" customHeight="1">
      <c r="B40" s="208"/>
      <c r="C40" s="968" t="str">
        <f>IF(ISBLANK(B40),"",_xlfn.XLOOKUP(B40,tblConsommables[Article],tblConsommables[Fournisseur],""))</f>
        <v/>
      </c>
      <c r="D40" s="969" t="str">
        <f>IF(ISBLANK(B40),"",_xlfn.XLOOKUP(B40,tblConsommables[Article],tblConsommables[Unité conditionnement],""))</f>
        <v/>
      </c>
      <c r="E40" s="970" t="str">
        <f>IF(ISBLANK(B40),"",_xlfn.XLOOKUP(B40,tblConsommables[Article],tblConsommables[Coût d''achat HTVA  à l''unité],""))</f>
        <v/>
      </c>
      <c r="F40" s="246"/>
      <c r="G40" s="972" t="str">
        <f t="shared" si="2"/>
        <v/>
      </c>
      <c r="H40" s="6" t="str">
        <f t="shared" si="3"/>
        <v/>
      </c>
      <c r="I40" s="245"/>
      <c r="J40" s="243"/>
      <c r="K40" s="247"/>
    </row>
    <row r="41" spans="2:11" s="252" customFormat="1" ht="17.25" customHeight="1">
      <c r="B41" s="208"/>
      <c r="C41" s="968" t="str">
        <f>IF(ISBLANK(B41),"",_xlfn.XLOOKUP(B41,tblConsommables[Article],tblConsommables[Fournisseur],""))</f>
        <v/>
      </c>
      <c r="D41" s="969" t="str">
        <f>IF(ISBLANK(B41),"",_xlfn.XLOOKUP(B41,tblConsommables[Article],tblConsommables[Unité conditionnement],""))</f>
        <v/>
      </c>
      <c r="E41" s="970" t="str">
        <f>IF(ISBLANK(B41),"",_xlfn.XLOOKUP(B41,tblConsommables[Article],tblConsommables[Coût d''achat HTVA  à l''unité],""))</f>
        <v/>
      </c>
      <c r="F41" s="246"/>
      <c r="G41" s="972" t="str">
        <f t="shared" si="2"/>
        <v/>
      </c>
      <c r="H41" s="6" t="str">
        <f t="shared" si="3"/>
        <v/>
      </c>
      <c r="I41" s="245"/>
      <c r="J41" s="243"/>
      <c r="K41" s="247"/>
    </row>
    <row r="42" spans="2:11" s="252" customFormat="1" ht="17.25" customHeight="1" thickBot="1">
      <c r="B42" s="208"/>
      <c r="C42" s="968" t="str">
        <f>IF(ISBLANK(B42),"",_xlfn.XLOOKUP(B42,tblConsommables[Article],tblConsommables[Fournisseur],""))</f>
        <v/>
      </c>
      <c r="D42" s="969" t="str">
        <f>IF(ISBLANK(B42),"",_xlfn.XLOOKUP(B42,tblConsommables[Article],tblConsommables[Unité conditionnement],""))</f>
        <v/>
      </c>
      <c r="E42" s="970" t="str">
        <f>IF(ISBLANK(B42),"",_xlfn.XLOOKUP(B42,tblConsommables[Article],tblConsommables[Coût d''achat HTVA  à l''unité],""))</f>
        <v/>
      </c>
      <c r="F42" s="248"/>
      <c r="G42" s="972" t="str">
        <f t="shared" si="2"/>
        <v/>
      </c>
      <c r="H42" s="6" t="str">
        <f t="shared" si="3"/>
        <v/>
      </c>
      <c r="I42" s="245"/>
      <c r="J42" s="243"/>
      <c r="K42" s="247"/>
    </row>
    <row r="43" spans="2:11" s="252" customFormat="1" ht="17.25" customHeight="1" thickBot="1">
      <c r="B43" s="958" t="s">
        <v>31</v>
      </c>
      <c r="C43" s="959"/>
      <c r="D43" s="959"/>
      <c r="E43" s="959"/>
      <c r="F43" s="959"/>
      <c r="G43" s="960">
        <f>SUM(G34:G42)</f>
        <v>72.303000000000011</v>
      </c>
      <c r="H43" s="961">
        <f>IF(G43="","",G43/G$45)</f>
        <v>0.27414389985935073</v>
      </c>
      <c r="I43" s="962"/>
      <c r="J43" s="962"/>
      <c r="K43" s="962"/>
    </row>
    <row r="44" spans="2:11" s="252" customFormat="1" ht="17.25" customHeight="1">
      <c r="B44" s="958" t="s">
        <v>180</v>
      </c>
      <c r="C44" s="959"/>
      <c r="D44" s="959"/>
      <c r="E44" s="959"/>
      <c r="F44" s="959"/>
      <c r="G44" s="963">
        <f>J73</f>
        <v>1.4593</v>
      </c>
      <c r="H44" s="961">
        <f>IF(G44="","",G44/G$45)</f>
        <v>5.5330787528145515E-3</v>
      </c>
      <c r="I44" s="964"/>
      <c r="J44" s="962"/>
      <c r="K44" s="962"/>
    </row>
    <row r="45" spans="2:11" s="252" customFormat="1" ht="17.25" customHeight="1">
      <c r="B45" s="249" t="s">
        <v>273</v>
      </c>
      <c r="C45" s="250"/>
      <c r="D45" s="250"/>
      <c r="E45" s="250"/>
      <c r="F45" s="251"/>
      <c r="G45" s="973">
        <f>SUM(G33,G43,G44)</f>
        <v>263.74104999999997</v>
      </c>
      <c r="H45" s="7">
        <f>IF(G45="","",G45/G$45)</f>
        <v>1</v>
      </c>
    </row>
    <row r="46" spans="2:11" s="252" customFormat="1" ht="17.25" customHeight="1">
      <c r="B46" s="220" t="s">
        <v>274</v>
      </c>
      <c r="C46" s="253"/>
      <c r="D46" s="253"/>
      <c r="E46" s="253"/>
      <c r="F46" s="254"/>
      <c r="G46" s="973">
        <f>G45/D8</f>
        <v>1.1721824444444444</v>
      </c>
      <c r="H46" s="255"/>
    </row>
    <row r="47" spans="2:11" s="252" customFormat="1" ht="17.25" customHeight="1">
      <c r="H47" s="256"/>
    </row>
    <row r="48" spans="2:11" s="252" customFormat="1" ht="17.25" customHeight="1">
      <c r="B48" s="431" t="s">
        <v>275</v>
      </c>
      <c r="C48" s="432"/>
      <c r="D48" s="432"/>
      <c r="E48" s="432"/>
      <c r="F48" s="432"/>
      <c r="G48" s="433"/>
      <c r="H48" s="257"/>
      <c r="I48" s="431" t="s">
        <v>26</v>
      </c>
      <c r="J48" s="432"/>
      <c r="K48" s="433"/>
    </row>
    <row r="49" spans="2:17" s="252" customFormat="1" ht="17.25" customHeight="1">
      <c r="B49" s="220" t="s">
        <v>276</v>
      </c>
      <c r="C49" s="258"/>
      <c r="D49" s="258"/>
      <c r="E49" s="259"/>
      <c r="F49" s="260"/>
      <c r="G49" s="974">
        <f>D10</f>
        <v>4.0599999999999996</v>
      </c>
      <c r="H49" s="261"/>
      <c r="I49" s="220" t="s">
        <v>9</v>
      </c>
      <c r="J49" s="254"/>
      <c r="K49" s="974">
        <f>G10</f>
        <v>4.6698113207547172</v>
      </c>
    </row>
    <row r="50" spans="2:17" s="252" customFormat="1" ht="17.25" customHeight="1">
      <c r="B50" s="220" t="s">
        <v>277</v>
      </c>
      <c r="C50" s="258"/>
      <c r="D50" s="258"/>
      <c r="E50" s="253"/>
      <c r="F50" s="262"/>
      <c r="G50" s="975">
        <f>G49-G46</f>
        <v>2.8878175555555554</v>
      </c>
      <c r="H50" s="263"/>
      <c r="I50" s="220" t="s">
        <v>10</v>
      </c>
      <c r="J50" s="254"/>
      <c r="K50" s="975">
        <f>K49-G46</f>
        <v>3.497628876310273</v>
      </c>
    </row>
    <row r="51" spans="2:17" s="252" customFormat="1" ht="17.25" customHeight="1">
      <c r="B51" s="220" t="s">
        <v>378</v>
      </c>
      <c r="C51" s="258"/>
      <c r="D51" s="258"/>
      <c r="E51" s="253"/>
      <c r="F51" s="260"/>
      <c r="G51" s="975">
        <f>G50*$D8</f>
        <v>649.75894999999991</v>
      </c>
      <c r="H51" s="263"/>
      <c r="I51" s="220" t="s">
        <v>378</v>
      </c>
      <c r="J51" s="254"/>
      <c r="K51" s="975">
        <f>K50*$D8</f>
        <v>786.96649716981142</v>
      </c>
    </row>
    <row r="52" spans="2:17" s="252" customFormat="1" ht="17.25" customHeight="1">
      <c r="B52" s="220" t="s">
        <v>379</v>
      </c>
      <c r="C52" s="258"/>
      <c r="D52" s="258"/>
      <c r="E52" s="253"/>
      <c r="F52" s="260"/>
      <c r="G52" s="975">
        <f>G51/($C73*(1/60))</f>
        <v>135.36644791666666</v>
      </c>
      <c r="H52" s="263"/>
      <c r="I52" s="220" t="s">
        <v>379</v>
      </c>
      <c r="J52" s="254"/>
      <c r="K52" s="975">
        <f>K51/($C73*(1/60))</f>
        <v>163.95135357704405</v>
      </c>
    </row>
    <row r="53" spans="2:17" s="252" customFormat="1" ht="17.25" customHeight="1">
      <c r="B53" s="220" t="s">
        <v>278</v>
      </c>
      <c r="C53" s="258"/>
      <c r="D53" s="258"/>
      <c r="E53" s="253"/>
      <c r="F53" s="260"/>
      <c r="G53" s="8">
        <f>G50/$G$46</f>
        <v>2.4636246424286243</v>
      </c>
      <c r="H53" s="264"/>
      <c r="I53" s="220" t="s">
        <v>11</v>
      </c>
      <c r="J53" s="254"/>
      <c r="K53" s="8">
        <f>K50/$G$46</f>
        <v>2.9838604842507888</v>
      </c>
    </row>
    <row r="54" spans="2:17" s="252" customFormat="1" ht="17.25" customHeight="1" thickBot="1">
      <c r="B54" s="220" t="s">
        <v>12</v>
      </c>
      <c r="C54" s="258"/>
      <c r="D54" s="258"/>
      <c r="E54" s="253"/>
      <c r="F54" s="260"/>
      <c r="G54" s="976">
        <f>G49/$G$46</f>
        <v>3.4636246424286243</v>
      </c>
      <c r="H54" s="261"/>
      <c r="I54" s="220" t="s">
        <v>12</v>
      </c>
      <c r="J54" s="254"/>
      <c r="K54" s="976">
        <f>K49/$G$46</f>
        <v>3.9838604842507883</v>
      </c>
    </row>
    <row r="55" spans="2:17" ht="13.8">
      <c r="B55" s="220" t="s">
        <v>13</v>
      </c>
      <c r="C55" s="258"/>
      <c r="D55" s="258"/>
      <c r="E55" s="265"/>
      <c r="F55" s="266"/>
      <c r="G55" s="9">
        <f>G46/G49</f>
        <v>0.28871488779419818</v>
      </c>
      <c r="I55" s="220" t="s">
        <v>13</v>
      </c>
      <c r="J55" s="254"/>
      <c r="K55" s="9">
        <f>G46/K49</f>
        <v>0.25101280628507294</v>
      </c>
      <c r="L55" s="252"/>
      <c r="M55" s="252"/>
      <c r="N55" s="252"/>
      <c r="O55" s="252"/>
      <c r="P55" s="252"/>
      <c r="Q55" s="252"/>
    </row>
    <row r="56" spans="2:17" ht="14.4" thickBot="1">
      <c r="B56" s="220" t="s">
        <v>371</v>
      </c>
      <c r="F56" s="267"/>
      <c r="G56" s="34">
        <f ca="1">'4. CHARGES FIXES'!J18/(1-G55)</f>
        <v>29865.873899911589</v>
      </c>
      <c r="I56" s="220" t="s">
        <v>373</v>
      </c>
      <c r="K56" s="34">
        <f ca="1">'4. CHARGES FIXES'!J18/(1-K55)</f>
        <v>28362.502918986254</v>
      </c>
      <c r="L56" s="252"/>
      <c r="M56" s="252"/>
      <c r="N56" s="252"/>
      <c r="O56" s="252"/>
      <c r="P56" s="252"/>
      <c r="Q56" s="252"/>
    </row>
    <row r="57" spans="2:17" ht="14.4" thickBot="1">
      <c r="B57" s="268" t="s">
        <v>372</v>
      </c>
      <c r="F57" s="267"/>
      <c r="G57" s="977">
        <f ca="1">G56/G49</f>
        <v>7356.1265763329047</v>
      </c>
      <c r="I57" s="220" t="s">
        <v>374</v>
      </c>
      <c r="K57" s="977">
        <f ca="1">K56/K49</f>
        <v>6073.5864836617029</v>
      </c>
      <c r="L57" s="252"/>
      <c r="M57" s="252"/>
      <c r="N57" s="252"/>
      <c r="O57" s="252"/>
      <c r="P57" s="252"/>
      <c r="Q57" s="252"/>
    </row>
    <row r="58" spans="2:17" ht="14.4" thickBot="1">
      <c r="F58" s="267"/>
      <c r="K58" s="252"/>
      <c r="L58" s="252"/>
      <c r="M58" s="252"/>
      <c r="N58" s="252"/>
      <c r="O58" s="252"/>
      <c r="P58" s="252"/>
      <c r="Q58" s="252"/>
    </row>
    <row r="59" spans="2:17" ht="13.8">
      <c r="B59" s="436" t="s">
        <v>279</v>
      </c>
      <c r="C59" s="437"/>
      <c r="D59" s="437"/>
      <c r="E59" s="437"/>
      <c r="F59" s="437"/>
      <c r="G59" s="437"/>
      <c r="H59" s="437"/>
      <c r="I59" s="437"/>
      <c r="J59" s="438"/>
      <c r="K59" s="252"/>
      <c r="L59" s="252"/>
      <c r="M59" s="252"/>
      <c r="N59" s="252"/>
      <c r="O59" s="252"/>
      <c r="P59" s="252"/>
      <c r="Q59" s="252"/>
    </row>
    <row r="60" spans="2:17" ht="13.8">
      <c r="B60" s="269" t="s">
        <v>41</v>
      </c>
      <c r="C60" s="269" t="s">
        <v>280</v>
      </c>
      <c r="D60" s="269" t="s">
        <v>168</v>
      </c>
      <c r="E60" s="269" t="s">
        <v>282</v>
      </c>
      <c r="F60" s="269" t="s">
        <v>169</v>
      </c>
      <c r="G60" s="269" t="s">
        <v>172</v>
      </c>
      <c r="H60" s="269" t="s">
        <v>170</v>
      </c>
      <c r="I60" s="269" t="s">
        <v>174</v>
      </c>
      <c r="J60" s="269" t="s">
        <v>179</v>
      </c>
    </row>
    <row r="61" spans="2:17" ht="13.8">
      <c r="B61" s="270" t="s">
        <v>46</v>
      </c>
      <c r="C61" s="271">
        <v>20</v>
      </c>
      <c r="D61" s="271">
        <v>0</v>
      </c>
      <c r="E61" s="978">
        <f>C61+D61</f>
        <v>20</v>
      </c>
      <c r="F61" s="271"/>
      <c r="G61" s="271"/>
      <c r="H61" s="978">
        <f t="shared" ref="H61:H62" si="4">G61*D61/60</f>
        <v>0</v>
      </c>
      <c r="I61" s="272"/>
      <c r="J61" s="979" cm="1">
        <f t="array" ref="J61">_xlfn.IFS(I61=Listes!$C$2,'1. DONNEES DE BASE'!$B$2*H61,'FT_PROD (2)'!I61=Listes!$C$3,'1. DONNEES DE BASE'!$B$3*'FT_PROD (2)'!H61,TRUE,0)</f>
        <v>0</v>
      </c>
    </row>
    <row r="62" spans="2:17" ht="13.8">
      <c r="B62" s="270" t="s">
        <v>45</v>
      </c>
      <c r="C62" s="271">
        <v>120</v>
      </c>
      <c r="D62" s="271">
        <v>0</v>
      </c>
      <c r="E62" s="978">
        <f t="shared" ref="E62:E72" si="5">C62+D62</f>
        <v>120</v>
      </c>
      <c r="F62" s="271"/>
      <c r="G62" s="271"/>
      <c r="H62" s="978">
        <f t="shared" si="4"/>
        <v>0</v>
      </c>
      <c r="I62" s="272"/>
      <c r="J62" s="979" cm="1">
        <f t="array" ref="J62">_xlfn.IFS(I62=Listes!$C$2,'1. DONNEES DE BASE'!$B$2*H62,'FT_PROD (2)'!I62=Listes!$C$3,'1. DONNEES DE BASE'!$B$3*'FT_PROD (2)'!H62,TRUE,0)</f>
        <v>0</v>
      </c>
    </row>
    <row r="63" spans="2:17" ht="13.8">
      <c r="B63" s="270" t="s">
        <v>42</v>
      </c>
      <c r="C63" s="271">
        <v>10</v>
      </c>
      <c r="D63" s="273">
        <v>120</v>
      </c>
      <c r="E63" s="978">
        <f t="shared" si="5"/>
        <v>130</v>
      </c>
      <c r="F63" s="271" t="s">
        <v>173</v>
      </c>
      <c r="G63" s="271">
        <v>3</v>
      </c>
      <c r="H63" s="978">
        <f>G63*D63/60</f>
        <v>6</v>
      </c>
      <c r="I63" s="272" t="s">
        <v>175</v>
      </c>
      <c r="J63" s="979" cm="1">
        <f t="array" ref="J63">_xlfn.IFS(I63=Listes!$C$2,'1. DONNEES DE BASE'!$B$2*H63,'FT_PROD (2)'!I63=Listes!$C$3,'1. DONNEES DE BASE'!$B$3*'FT_PROD (2)'!H63,TRUE,0)</f>
        <v>0.48180000000000001</v>
      </c>
    </row>
    <row r="64" spans="2:17" ht="13.8">
      <c r="B64" s="270" t="s">
        <v>43</v>
      </c>
      <c r="C64" s="271">
        <v>3</v>
      </c>
      <c r="D64" s="271">
        <v>0</v>
      </c>
      <c r="E64" s="978">
        <f t="shared" si="5"/>
        <v>3</v>
      </c>
      <c r="F64" s="271"/>
      <c r="G64" s="271"/>
      <c r="H64" s="978">
        <f t="shared" ref="H64:H72" si="6">G64*D64/60</f>
        <v>0</v>
      </c>
      <c r="I64" s="272"/>
      <c r="J64" s="979" cm="1">
        <f t="array" ref="J64">_xlfn.IFS(I64=Listes!$C$2,'1. DONNEES DE BASE'!$B$2*H64,'FT_PROD (2)'!I64=Listes!$C$3,'1. DONNEES DE BASE'!$B$3*'FT_PROD (2)'!H64,TRUE,0)</f>
        <v>0</v>
      </c>
    </row>
    <row r="65" spans="2:10" ht="13.8">
      <c r="B65" s="270" t="s">
        <v>44</v>
      </c>
      <c r="C65" s="271">
        <v>15</v>
      </c>
      <c r="D65" s="273">
        <v>120</v>
      </c>
      <c r="E65" s="978">
        <f t="shared" si="5"/>
        <v>135</v>
      </c>
      <c r="F65" s="271"/>
      <c r="G65" s="271">
        <v>2</v>
      </c>
      <c r="H65" s="978">
        <f t="shared" si="6"/>
        <v>4</v>
      </c>
      <c r="I65" s="272" t="s">
        <v>176</v>
      </c>
      <c r="J65" s="979" cm="1">
        <f t="array" ref="J65">_xlfn.IFS(I65=Listes!$C$2,'1. DONNEES DE BASE'!$B$2*H65,'FT_PROD (2)'!I65=Listes!$C$3,'1. DONNEES DE BASE'!$B$3*'FT_PROD (2)'!H65,TRUE,0)</f>
        <v>0.8</v>
      </c>
    </row>
    <row r="66" spans="2:10" ht="13.8">
      <c r="B66" s="270" t="s">
        <v>27</v>
      </c>
      <c r="C66" s="271">
        <v>120</v>
      </c>
      <c r="D66" s="271">
        <v>0</v>
      </c>
      <c r="E66" s="978">
        <f t="shared" si="5"/>
        <v>120</v>
      </c>
      <c r="F66" s="271"/>
      <c r="G66" s="271"/>
      <c r="H66" s="978">
        <f t="shared" si="6"/>
        <v>0</v>
      </c>
      <c r="I66" s="272"/>
      <c r="J66" s="979" cm="1">
        <f t="array" ref="J66">_xlfn.IFS(I66=Listes!$C$2,'1. DONNEES DE BASE'!$B$2*H66,'FT_PROD (2)'!I66=Listes!$C$3,'1. DONNEES DE BASE'!$B$3*'FT_PROD (2)'!H66,TRUE,0)</f>
        <v>0</v>
      </c>
    </row>
    <row r="67" spans="2:10" ht="13.8">
      <c r="B67" s="274" t="s">
        <v>167</v>
      </c>
      <c r="C67" s="271">
        <v>0</v>
      </c>
      <c r="D67" s="271">
        <v>0</v>
      </c>
      <c r="E67" s="978">
        <f t="shared" si="5"/>
        <v>0</v>
      </c>
      <c r="F67" s="271"/>
      <c r="G67" s="271"/>
      <c r="H67" s="978">
        <f t="shared" si="6"/>
        <v>0</v>
      </c>
      <c r="I67" s="272"/>
      <c r="J67" s="979" cm="1">
        <f t="array" ref="J67">_xlfn.IFS(I67=Listes!$C$2,'1. DONNEES DE BASE'!$B$2*H67,'FT_PROD (2)'!I67=Listes!$C$3,'1. DONNEES DE BASE'!$B$3*'FT_PROD (2)'!H67,TRUE,0)</f>
        <v>0</v>
      </c>
    </row>
    <row r="68" spans="2:10" ht="13.8">
      <c r="B68" s="274" t="s">
        <v>48</v>
      </c>
      <c r="C68" s="271">
        <v>0</v>
      </c>
      <c r="D68" s="271">
        <v>15</v>
      </c>
      <c r="E68" s="978">
        <f t="shared" si="5"/>
        <v>15</v>
      </c>
      <c r="F68" s="271" t="s">
        <v>171</v>
      </c>
      <c r="G68" s="271">
        <v>3.55</v>
      </c>
      <c r="H68" s="978">
        <f t="shared" si="6"/>
        <v>0.88749999999999996</v>
      </c>
      <c r="I68" s="272" t="s">
        <v>176</v>
      </c>
      <c r="J68" s="979" cm="1">
        <f t="array" ref="J68">_xlfn.IFS(I68=Listes!$C$2,'1. DONNEES DE BASE'!$B$2*H68,'FT_PROD (2)'!I68=Listes!$C$3,'1. DONNEES DE BASE'!$B$3*'FT_PROD (2)'!H68,TRUE,0)</f>
        <v>0.17749999999999999</v>
      </c>
    </row>
    <row r="69" spans="2:10" ht="13.8">
      <c r="B69" s="274" t="s">
        <v>283</v>
      </c>
      <c r="C69" s="271">
        <v>0</v>
      </c>
      <c r="D69" s="271">
        <v>0</v>
      </c>
      <c r="E69" s="978">
        <f t="shared" si="5"/>
        <v>0</v>
      </c>
      <c r="F69" s="271"/>
      <c r="G69" s="271"/>
      <c r="H69" s="978">
        <f t="shared" si="6"/>
        <v>0</v>
      </c>
      <c r="I69" s="272"/>
      <c r="J69" s="979" cm="1">
        <f t="array" ref="J69">_xlfn.IFS(I69=Listes!$C$2,'1. DONNEES DE BASE'!$B$2*H69,'FT_PROD (2)'!I69=Listes!$C$3,'1. DONNEES DE BASE'!$B$3*'FT_PROD (2)'!H69,TRUE,0)</f>
        <v>0</v>
      </c>
    </row>
    <row r="70" spans="2:10" ht="13.8">
      <c r="B70" s="274" t="s">
        <v>284</v>
      </c>
      <c r="C70" s="271">
        <v>0</v>
      </c>
      <c r="D70" s="271">
        <v>0</v>
      </c>
      <c r="E70" s="978">
        <f t="shared" si="5"/>
        <v>0</v>
      </c>
      <c r="F70" s="271"/>
      <c r="G70" s="271"/>
      <c r="H70" s="978">
        <f t="shared" si="6"/>
        <v>0</v>
      </c>
      <c r="I70" s="272"/>
      <c r="J70" s="979" cm="1">
        <f t="array" ref="J70">_xlfn.IFS(I70=Listes!$C$2,'1. DONNEES DE BASE'!$B$2*H70,'FT_PROD (2)'!I70=Listes!$C$3,'1. DONNEES DE BASE'!$B$3*'FT_PROD (2)'!H70,TRUE,0)</f>
        <v>0</v>
      </c>
    </row>
    <row r="71" spans="2:10" ht="13.8">
      <c r="B71" s="274" t="s">
        <v>285</v>
      </c>
      <c r="C71" s="271">
        <v>0</v>
      </c>
      <c r="D71" s="271">
        <v>0</v>
      </c>
      <c r="E71" s="978">
        <f t="shared" si="5"/>
        <v>0</v>
      </c>
      <c r="F71" s="271"/>
      <c r="G71" s="271"/>
      <c r="H71" s="978">
        <f t="shared" si="6"/>
        <v>0</v>
      </c>
      <c r="I71" s="272"/>
      <c r="J71" s="979" cm="1">
        <f t="array" ref="J71">_xlfn.IFS(I71=Listes!$C$2,'1. DONNEES DE BASE'!$B$2*H71,'FT_PROD (2)'!I71=Listes!$C$3,'1. DONNEES DE BASE'!$B$3*'FT_PROD (2)'!H71,TRUE,0)</f>
        <v>0</v>
      </c>
    </row>
    <row r="72" spans="2:10" ht="13.8">
      <c r="B72" s="274" t="s">
        <v>286</v>
      </c>
      <c r="C72" s="271">
        <v>0</v>
      </c>
      <c r="D72" s="271">
        <v>0</v>
      </c>
      <c r="E72" s="978">
        <f t="shared" si="5"/>
        <v>0</v>
      </c>
      <c r="F72" s="271"/>
      <c r="G72" s="271"/>
      <c r="H72" s="978">
        <f t="shared" si="6"/>
        <v>0</v>
      </c>
      <c r="I72" s="272"/>
      <c r="J72" s="979" cm="1">
        <f t="array" ref="J72">_xlfn.IFS(I72=Listes!$C$2,'1. DONNEES DE BASE'!$B$2*H72,'FT_PROD (2)'!I72=Listes!$C$3,'1. DONNEES DE BASE'!$B$3*'FT_PROD (2)'!H72,TRUE,0)</f>
        <v>0</v>
      </c>
    </row>
    <row r="73" spans="2:10" ht="14.4" thickBot="1">
      <c r="B73" s="980" t="s">
        <v>47</v>
      </c>
      <c r="C73" s="981">
        <f>SUM(C61:C72)</f>
        <v>288</v>
      </c>
      <c r="D73" s="981">
        <f>SUM(D61:D72)</f>
        <v>255</v>
      </c>
      <c r="E73" s="981">
        <f>SUM(E61:E72)</f>
        <v>543</v>
      </c>
      <c r="F73" s="981"/>
      <c r="G73" s="981"/>
      <c r="H73" s="981">
        <f>SUM(H61:H72)</f>
        <v>10.887499999999999</v>
      </c>
      <c r="I73" s="981"/>
      <c r="J73" s="10">
        <f>SUMIF(J61:J72,"&lt;&gt;#N/A")</f>
        <v>1.4593</v>
      </c>
    </row>
    <row r="76" spans="2:10">
      <c r="B76" s="275" t="s">
        <v>497</v>
      </c>
      <c r="C76" s="275"/>
    </row>
    <row r="77" spans="2:10">
      <c r="B77" s="276" t="s">
        <v>498</v>
      </c>
      <c r="C77" s="982">
        <f>SUMIFS(G17:G32,C17:C32,"Auto")</f>
        <v>175</v>
      </c>
    </row>
    <row r="78" spans="2:10">
      <c r="B78" s="276" t="s">
        <v>499</v>
      </c>
      <c r="C78" s="983">
        <f>C77/D8</f>
        <v>0.77777777777777779</v>
      </c>
    </row>
  </sheetData>
  <sheetProtection algorithmName="SHA-512" hashValue="dGBPe3LqrO+6EQ9Os79XxYm4qPyicbewdgGoxTsLl3t3wUUJIhw0nhIwRuFN4QE8CGjbVu4bnECG9wwsFvai6Q==" saltValue="mkW4tWpMVrfvDEmNf8GkDw==" spinCount="100000" sheet="1" objects="1" scenarios="1" formatCells="0" formatColumns="0" formatRows="0" insertRows="0" insertHyperlinks="0" sort="0" autoFilter="0" pivotTables="0"/>
  <protectedRanges>
    <protectedRange sqref="I61:I72" name="TYpe energie"/>
    <protectedRange sqref="C2:C3 D5:D6 D8 D10:D11 G11:G12" name="Données de base"/>
    <protectedRange sqref="I17:K32 I34:K42 B34:F42 B17:F32" name="Ingred et consommables"/>
    <protectedRange sqref="B61:D72 F61:G72" name="Energie et travail"/>
  </protectedRanges>
  <mergeCells count="17">
    <mergeCell ref="B33:F33"/>
    <mergeCell ref="H4:J4"/>
    <mergeCell ref="H5:J5"/>
    <mergeCell ref="H6:J6"/>
    <mergeCell ref="H7:J7"/>
    <mergeCell ref="H8:J8"/>
    <mergeCell ref="H9:J9"/>
    <mergeCell ref="H10:J10"/>
    <mergeCell ref="H11:J11"/>
    <mergeCell ref="H12:J12"/>
    <mergeCell ref="H13:J13"/>
    <mergeCell ref="I16:K16"/>
    <mergeCell ref="B43:F43"/>
    <mergeCell ref="B44:F44"/>
    <mergeCell ref="B48:G48"/>
    <mergeCell ref="I48:K48"/>
    <mergeCell ref="B59:J59"/>
  </mergeCells>
  <dataValidations count="2">
    <dataValidation type="list" allowBlank="1" showInputMessage="1" showErrorMessage="1" errorTitle="Consommable invalide" error="Veuillez sélectionner un consommable dans la liste." sqref="B34:B42" xr:uid="{BE6B95E8-DEE0-4E68-9A33-1C3E20C7DC5D}">
      <formula1>ListeConsommables</formula1>
    </dataValidation>
    <dataValidation type="list" allowBlank="1" showInputMessage="1" showErrorMessage="1" errorTitle="Ingrédient invalide" error="Veuillez sélectionner un ingrédient dans la liste." sqref="B17:B32" xr:uid="{2E37AD67-2D49-434B-8A90-BE53DBC7A861}">
      <formula1>ListeIngredients</formula1>
    </dataValidation>
  </dataValidations>
  <pageMargins left="0.39370078740157483" right="0.39370078740157483" top="0.39370078740157483" bottom="0.39370078740157483" header="0.51181102362204722" footer="0.51181102362204722"/>
  <pageSetup paperSize="9" scale="65"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6A8D929-9A05-47A8-8DEB-8D3C8D03CB5D}">
          <x14:formula1>
            <xm:f>Listes!$C$2:$C$5</xm:f>
          </x14:formula1>
          <xm:sqref>I61:I63 I65:I72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61065-CAB2-46CA-861C-CB4E05A00CC1}">
  <dimension ref="A1:E21"/>
  <sheetViews>
    <sheetView workbookViewId="0">
      <selection activeCell="E10" sqref="E10"/>
    </sheetView>
  </sheetViews>
  <sheetFormatPr baseColWidth="10" defaultRowHeight="14.4"/>
  <cols>
    <col min="1" max="1" width="25.6640625" style="47" customWidth="1"/>
    <col min="2" max="3" width="11.77734375" style="47" bestFit="1" customWidth="1"/>
    <col min="4" max="16384" width="11.5546875" style="47"/>
  </cols>
  <sheetData>
    <row r="1" spans="1:5">
      <c r="A1" s="45" t="s">
        <v>80</v>
      </c>
      <c r="B1" s="46">
        <v>2026</v>
      </c>
    </row>
    <row r="2" spans="1:5">
      <c r="A2" s="47" t="s">
        <v>177</v>
      </c>
      <c r="B2" s="48">
        <v>8.0299999999999996E-2</v>
      </c>
      <c r="C2" s="47" t="s">
        <v>257</v>
      </c>
    </row>
    <row r="3" spans="1:5">
      <c r="A3" s="47" t="s">
        <v>178</v>
      </c>
      <c r="B3" s="48">
        <v>0.2</v>
      </c>
    </row>
    <row r="6" spans="1:5">
      <c r="A6" s="457" t="s">
        <v>696</v>
      </c>
      <c r="B6" s="457"/>
      <c r="C6" s="457"/>
    </row>
    <row r="7" spans="1:5">
      <c r="A7" s="457" t="s">
        <v>697</v>
      </c>
      <c r="B7" s="458">
        <f>B1-2</f>
        <v>2024</v>
      </c>
      <c r="C7" s="458">
        <f>B1-1</f>
        <v>2025</v>
      </c>
      <c r="E7" s="45" t="str">
        <f>"Indiquer au moins les résultats de la dernière cloture comptable = "&amp;B1-1</f>
        <v>Indiquer au moins les résultats de la dernière cloture comptable = 2025</v>
      </c>
    </row>
    <row r="8" spans="1:5" ht="28.8">
      <c r="A8" s="459" t="str">
        <f>"Revenu imposable total ferme - Dernière cloture fiscale = "&amp;B1-1</f>
        <v>Revenu imposable total ferme - Dernière cloture fiscale = 2025</v>
      </c>
      <c r="B8" s="170">
        <v>45000</v>
      </c>
      <c r="C8" s="170">
        <v>85000</v>
      </c>
      <c r="E8" s="47" t="s">
        <v>692</v>
      </c>
    </row>
    <row r="9" spans="1:5">
      <c r="A9" s="459" t="s">
        <v>698</v>
      </c>
      <c r="B9" s="170">
        <v>35000</v>
      </c>
      <c r="C9" s="170">
        <v>25000</v>
      </c>
      <c r="E9" s="47" t="s">
        <v>694</v>
      </c>
    </row>
    <row r="10" spans="1:5" ht="43.2">
      <c r="A10" s="37" t="s">
        <v>704</v>
      </c>
      <c r="B10" s="170">
        <v>25000</v>
      </c>
      <c r="C10" s="170">
        <v>20000</v>
      </c>
      <c r="E10" s="49" t="s">
        <v>531</v>
      </c>
    </row>
    <row r="13" spans="1:5">
      <c r="A13" s="45"/>
    </row>
    <row r="14" spans="1:5">
      <c r="B14" s="460"/>
    </row>
    <row r="15" spans="1:5">
      <c r="B15" s="461"/>
    </row>
    <row r="16" spans="1:5">
      <c r="B16" s="460"/>
    </row>
    <row r="17" spans="2:2">
      <c r="B17" s="462"/>
    </row>
    <row r="18" spans="2:2">
      <c r="B18" s="462"/>
    </row>
    <row r="20" spans="2:2">
      <c r="B20" s="460"/>
    </row>
    <row r="21" spans="2:2">
      <c r="B21" s="461"/>
    </row>
  </sheetData>
  <sheetProtection algorithmName="SHA-512" hashValue="ISiFeyzNatcoPlqOu2Ndeeg2qFTZMB/tpGBt4mRk8TEmhwveSR9XWcSqgQEM/0Z29oRh+0PMgR5pJvsAvlLPFA==" saltValue="GQkgo3TCvYHJDJxPK/nt/g==" spinCount="100000" sheet="1" objects="1" scenarios="1" formatCells="0" formatColumns="0" formatRows="0" insertRows="0" insertHyperlink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62267-A440-4097-B30D-3E6E1A64E93C}">
  <sheetPr>
    <pageSetUpPr fitToPage="1"/>
  </sheetPr>
  <dimension ref="B1:Q78"/>
  <sheetViews>
    <sheetView showGridLines="0" zoomScale="85" zoomScaleNormal="85" workbookViewId="0">
      <selection activeCell="C3" sqref="C3"/>
    </sheetView>
  </sheetViews>
  <sheetFormatPr baseColWidth="10" defaultColWidth="11.44140625" defaultRowHeight="13.2"/>
  <cols>
    <col min="1" max="1" width="1.44140625" style="219" customWidth="1"/>
    <col min="2" max="2" width="23.109375" style="219" customWidth="1"/>
    <col min="3" max="3" width="20" style="219" customWidth="1"/>
    <col min="4" max="4" width="19" style="219" customWidth="1"/>
    <col min="5" max="5" width="13.6640625" style="219" bestFit="1" customWidth="1"/>
    <col min="6" max="6" width="23.21875" style="219" customWidth="1"/>
    <col min="7" max="7" width="14.5546875" style="219" customWidth="1"/>
    <col min="8" max="8" width="14.109375" style="219" customWidth="1"/>
    <col min="9" max="9" width="17.33203125" style="219" customWidth="1"/>
    <col min="10" max="10" width="16.6640625" style="219" customWidth="1"/>
    <col min="11" max="11" width="12.109375" style="219" customWidth="1"/>
    <col min="12" max="16384" width="11.44140625" style="219"/>
  </cols>
  <sheetData>
    <row r="1" spans="2:11" ht="47.25" customHeight="1">
      <c r="B1" s="216" t="s">
        <v>37</v>
      </c>
      <c r="C1" s="217"/>
      <c r="D1" s="217"/>
      <c r="E1" s="217"/>
      <c r="F1" s="217"/>
      <c r="G1" s="217"/>
      <c r="H1" s="217"/>
      <c r="I1" s="217"/>
      <c r="J1" s="218"/>
    </row>
    <row r="2" spans="2:11" ht="16.2" customHeight="1">
      <c r="B2" s="220" t="s">
        <v>39</v>
      </c>
      <c r="C2" s="221" t="s">
        <v>290</v>
      </c>
      <c r="D2" s="222"/>
      <c r="E2" s="223"/>
      <c r="F2" s="217"/>
      <c r="G2" s="217"/>
      <c r="H2" s="217"/>
      <c r="I2" s="217"/>
    </row>
    <row r="3" spans="2:11" ht="18.75" customHeight="1">
      <c r="B3" s="220" t="s">
        <v>23</v>
      </c>
      <c r="C3" s="221" t="s">
        <v>518</v>
      </c>
      <c r="D3" s="222"/>
      <c r="E3" s="223"/>
      <c r="F3" s="217"/>
      <c r="G3" s="217"/>
      <c r="H3" s="217"/>
      <c r="I3" s="217"/>
    </row>
    <row r="4" spans="2:11" ht="18.75" customHeight="1">
      <c r="B4" s="224"/>
      <c r="C4" s="217"/>
      <c r="D4" s="217"/>
      <c r="F4" s="217"/>
      <c r="G4" s="217"/>
      <c r="H4" s="434" t="s">
        <v>287</v>
      </c>
      <c r="I4" s="434"/>
      <c r="J4" s="434"/>
    </row>
    <row r="5" spans="2:11" ht="19.95" customHeight="1">
      <c r="B5" s="220" t="s">
        <v>265</v>
      </c>
      <c r="C5" s="225"/>
      <c r="D5" s="226">
        <v>50</v>
      </c>
      <c r="E5" s="227"/>
      <c r="F5" s="228"/>
      <c r="G5" s="229"/>
      <c r="H5" s="435" t="s">
        <v>266</v>
      </c>
      <c r="I5" s="428"/>
      <c r="J5" s="428"/>
    </row>
    <row r="6" spans="2:11" ht="19.95" customHeight="1">
      <c r="B6" s="220" t="s">
        <v>267</v>
      </c>
      <c r="C6" s="225"/>
      <c r="D6" s="230">
        <v>0.2</v>
      </c>
      <c r="E6" s="227"/>
      <c r="F6" s="228"/>
      <c r="G6" s="229"/>
      <c r="H6" s="428"/>
      <c r="I6" s="428"/>
      <c r="J6" s="428"/>
    </row>
    <row r="7" spans="2:11" ht="19.95" customHeight="1">
      <c r="B7" s="220" t="s">
        <v>35</v>
      </c>
      <c r="C7" s="225"/>
      <c r="D7" s="965">
        <f>D5/D6</f>
        <v>250</v>
      </c>
      <c r="E7" s="227"/>
      <c r="F7" s="228"/>
      <c r="G7" s="229"/>
      <c r="H7" s="428"/>
      <c r="I7" s="428"/>
      <c r="J7" s="428"/>
    </row>
    <row r="8" spans="2:11" ht="19.95" customHeight="1">
      <c r="B8" s="220" t="s">
        <v>36</v>
      </c>
      <c r="C8" s="225"/>
      <c r="D8" s="230">
        <v>225</v>
      </c>
      <c r="E8" s="227"/>
      <c r="F8" s="228"/>
      <c r="G8" s="229"/>
      <c r="H8" s="428" t="s">
        <v>268</v>
      </c>
      <c r="I8" s="428"/>
      <c r="J8" s="428"/>
    </row>
    <row r="9" spans="2:11" ht="19.95" customHeight="1">
      <c r="B9" s="220" t="s">
        <v>34</v>
      </c>
      <c r="C9" s="225"/>
      <c r="D9" s="4">
        <f>1-(D8/D7)</f>
        <v>9.9999999999999978E-2</v>
      </c>
      <c r="E9" s="227"/>
      <c r="F9" s="228"/>
      <c r="G9" s="229"/>
      <c r="H9" s="428" t="s">
        <v>269</v>
      </c>
      <c r="I9" s="428"/>
      <c r="J9" s="428"/>
    </row>
    <row r="10" spans="2:11" ht="19.95" customHeight="1">
      <c r="B10" s="220" t="s">
        <v>25</v>
      </c>
      <c r="C10" s="225"/>
      <c r="D10" s="231">
        <v>4.0599999999999996</v>
      </c>
      <c r="E10" s="220" t="s">
        <v>32</v>
      </c>
      <c r="F10" s="232"/>
      <c r="G10" s="966">
        <f>G12/(1+G11)</f>
        <v>4.6698113207547172</v>
      </c>
      <c r="H10" s="428"/>
      <c r="I10" s="428"/>
      <c r="J10" s="428"/>
    </row>
    <row r="11" spans="2:11" ht="19.95" customHeight="1">
      <c r="B11" s="220" t="s">
        <v>3</v>
      </c>
      <c r="C11" s="225"/>
      <c r="D11" s="233">
        <v>0.06</v>
      </c>
      <c r="E11" s="220" t="s">
        <v>3</v>
      </c>
      <c r="F11" s="232"/>
      <c r="G11" s="234">
        <v>0.06</v>
      </c>
      <c r="H11" s="428"/>
      <c r="I11" s="428"/>
      <c r="J11" s="428"/>
    </row>
    <row r="12" spans="2:11" ht="19.95" customHeight="1">
      <c r="B12" s="220" t="s">
        <v>33</v>
      </c>
      <c r="C12" s="225"/>
      <c r="D12" s="967">
        <f>D10*(1+D11)</f>
        <v>4.3035999999999994</v>
      </c>
      <c r="E12" s="220" t="s">
        <v>24</v>
      </c>
      <c r="F12" s="232"/>
      <c r="G12" s="235">
        <v>4.95</v>
      </c>
      <c r="H12" s="428"/>
      <c r="I12" s="428"/>
      <c r="J12" s="428"/>
    </row>
    <row r="13" spans="2:11" ht="19.95" customHeight="1">
      <c r="B13" s="220" t="s">
        <v>270</v>
      </c>
      <c r="C13" s="225"/>
      <c r="D13" s="4">
        <f>G10/D10-1</f>
        <v>0.15019983269820636</v>
      </c>
      <c r="E13" s="236"/>
      <c r="F13" s="236"/>
      <c r="G13" s="236"/>
      <c r="H13" s="428" t="s">
        <v>271</v>
      </c>
      <c r="I13" s="428"/>
      <c r="J13" s="428"/>
    </row>
    <row r="14" spans="2:11" ht="18.75" customHeight="1">
      <c r="B14" s="236"/>
      <c r="C14" s="236"/>
      <c r="D14" s="236"/>
      <c r="E14" s="236"/>
      <c r="F14" s="236"/>
      <c r="G14" s="236"/>
      <c r="H14" s="236"/>
      <c r="I14" s="236"/>
    </row>
    <row r="15" spans="2:11" ht="6.75" customHeight="1" thickBot="1"/>
    <row r="16" spans="2:11" s="951" customFormat="1" ht="45" customHeight="1">
      <c r="B16" s="237" t="s">
        <v>4</v>
      </c>
      <c r="C16" s="238" t="s">
        <v>5</v>
      </c>
      <c r="D16" s="239" t="s">
        <v>6</v>
      </c>
      <c r="E16" s="239" t="s">
        <v>7</v>
      </c>
      <c r="F16" s="239" t="s">
        <v>8</v>
      </c>
      <c r="G16" s="239" t="s">
        <v>281</v>
      </c>
      <c r="H16" s="240" t="s">
        <v>30</v>
      </c>
      <c r="I16" s="429" t="s">
        <v>22</v>
      </c>
      <c r="J16" s="429"/>
      <c r="K16" s="430"/>
    </row>
    <row r="17" spans="2:11" s="252" customFormat="1" ht="17.25" customHeight="1">
      <c r="B17" s="208" t="s">
        <v>14</v>
      </c>
      <c r="C17" s="968" t="str">
        <f>IF(ISBLANK(B17),"",_xlfn.XLOOKUP(B17,tblIngredients[Article],tblIngredients[Fournisseur],""))</f>
        <v>Auto</v>
      </c>
      <c r="D17" s="969" t="str">
        <f>IF(ISBLANK(B17),"",_xlfn.XLOOKUP(B17,tblIngredients[Article],tblIngredients[Unité conditionnement],""))</f>
        <v>1 kg</v>
      </c>
      <c r="E17" s="970">
        <f>IF(ISBLANK(B17),"",_xlfn.XLOOKUP(B17,tblIngredients[Article],tblIngredients[Coût d''achat HTVA  à l''unité],""))</f>
        <v>3.5</v>
      </c>
      <c r="F17" s="241">
        <v>50</v>
      </c>
      <c r="G17" s="971">
        <f>IF(OR(F17="",ISBLANK(F17)),"",E17*F17)</f>
        <v>175</v>
      </c>
      <c r="H17" s="5">
        <f>IF(OR(G17="",ISBLANK(G17)),"",G17/G$33)</f>
        <v>0.92115565556674106</v>
      </c>
      <c r="I17" s="242" t="s">
        <v>272</v>
      </c>
      <c r="J17" s="243"/>
      <c r="K17" s="244"/>
    </row>
    <row r="18" spans="2:11" s="252" customFormat="1" ht="17.25" customHeight="1">
      <c r="B18" s="208" t="s">
        <v>15</v>
      </c>
      <c r="C18" s="968" t="str">
        <f>IF(ISBLANK(B18),"",_xlfn.XLOOKUP(B18,tblIngredients[Article],tblIngredients[Fournisseur],""))</f>
        <v>Inbterbio</v>
      </c>
      <c r="D18" s="969" t="str">
        <f>IF(ISBLANK(B18),"",_xlfn.XLOOKUP(B18,tblIngredients[Article],tblIngredients[Unité conditionnement],""))</f>
        <v>1 kg</v>
      </c>
      <c r="E18" s="970">
        <f>IF(ISBLANK(B18),"",_xlfn.XLOOKUP(B18,tblIngredients[Article],tblIngredients[Coût d''achat HTVA  à l''unité],""))</f>
        <v>6</v>
      </c>
      <c r="F18" s="241">
        <v>0.5</v>
      </c>
      <c r="G18" s="971">
        <f t="shared" ref="G18:G32" si="0">IF(OR(F18="",ISBLANK(F18)),"",E18*F18)</f>
        <v>3</v>
      </c>
      <c r="H18" s="5">
        <f t="shared" ref="H18:H32" si="1">IF(OR(G18="",ISBLANK(G18)),"",G18/G$33)</f>
        <v>1.5791239809715561E-2</v>
      </c>
      <c r="I18" s="245"/>
      <c r="J18" s="243"/>
      <c r="K18" s="244"/>
    </row>
    <row r="19" spans="2:11" s="252" customFormat="1" ht="17.25" customHeight="1">
      <c r="B19" s="208" t="s">
        <v>16</v>
      </c>
      <c r="C19" s="968" t="str">
        <f>IF(ISBLANK(B19),"",_xlfn.XLOOKUP(B19,tblIngredients[Article],tblIngredients[Fournisseur],""))</f>
        <v>Interbio</v>
      </c>
      <c r="D19" s="969" t="str">
        <f>IF(ISBLANK(B19),"",_xlfn.XLOOKUP(B19,tblIngredients[Article],tblIngredients[Unité conditionnement],""))</f>
        <v>1 Botte</v>
      </c>
      <c r="E19" s="970">
        <f>IF(ISBLANK(B19),"",_xlfn.XLOOKUP(B19,tblIngredients[Article],tblIngredients[Coût d''achat HTVA  à l''unité],""))</f>
        <v>1.89</v>
      </c>
      <c r="F19" s="241">
        <v>4</v>
      </c>
      <c r="G19" s="971">
        <f t="shared" si="0"/>
        <v>7.56</v>
      </c>
      <c r="H19" s="5">
        <f t="shared" si="1"/>
        <v>3.9793924320483211E-2</v>
      </c>
      <c r="I19" s="245"/>
      <c r="J19" s="243"/>
      <c r="K19" s="244"/>
    </row>
    <row r="20" spans="2:11" s="252" customFormat="1" ht="17.25" customHeight="1">
      <c r="B20" s="208" t="s">
        <v>17</v>
      </c>
      <c r="C20" s="968" t="str">
        <f>IF(ISBLANK(B20),"",_xlfn.XLOOKUP(B20,tblIngredients[Article],tblIngredients[Fournisseur],""))</f>
        <v>Solucious</v>
      </c>
      <c r="D20" s="969" t="str">
        <f>IF(ISBLANK(B20),"",_xlfn.XLOOKUP(B20,tblIngredients[Article],tblIngredients[Unité conditionnement],""))</f>
        <v>1 L</v>
      </c>
      <c r="E20" s="970">
        <f>IF(ISBLANK(B20),"",_xlfn.XLOOKUP(B20,tblIngredients[Article],tblIngredients[Coût d''achat HTVA  à l''unité],""))</f>
        <v>17.649999999999999</v>
      </c>
      <c r="F20" s="241">
        <v>0.25</v>
      </c>
      <c r="G20" s="971">
        <f t="shared" si="0"/>
        <v>4.4124999999999996</v>
      </c>
      <c r="H20" s="5">
        <f t="shared" si="1"/>
        <v>2.3226281886789969E-2</v>
      </c>
      <c r="I20" s="245"/>
      <c r="J20" s="243"/>
      <c r="K20" s="244"/>
    </row>
    <row r="21" spans="2:11" s="252" customFormat="1" ht="17.25" customHeight="1">
      <c r="B21" s="208" t="s">
        <v>359</v>
      </c>
      <c r="C21" s="968" t="str">
        <f>IF(ISBLANK(B21),"",_xlfn.XLOOKUP(B21,tblIngredients[Article],tblIngredients[Fournisseur],""))</f>
        <v>Solucious</v>
      </c>
      <c r="D21" s="969" t="str">
        <f>IF(ISBLANK(B21),"",_xlfn.XLOOKUP(B21,tblIngredients[Article],tblIngredients[Unité conditionnement],""))</f>
        <v>1 Kg</v>
      </c>
      <c r="E21" s="970">
        <f>IF(ISBLANK(B21),"",_xlfn.XLOOKUP(B21,tblIngredients[Article],tblIngredients[Coût d''achat HTVA  à l''unité],""))</f>
        <v>6.25</v>
      </c>
      <c r="F21" s="241">
        <v>1E-3</v>
      </c>
      <c r="G21" s="971">
        <f t="shared" si="0"/>
        <v>6.2500000000000003E-3</v>
      </c>
      <c r="H21" s="5">
        <f t="shared" si="1"/>
        <v>3.2898416270240753E-5</v>
      </c>
      <c r="I21" s="245"/>
      <c r="J21" s="243"/>
      <c r="K21" s="244"/>
    </row>
    <row r="22" spans="2:11" s="252" customFormat="1" ht="17.25" customHeight="1">
      <c r="B22" s="208"/>
      <c r="C22" s="968" t="str">
        <f>IF(ISBLANK(B22),"",_xlfn.XLOOKUP(B22,tblIngredients[Article],tblIngredients[Fournisseur],""))</f>
        <v/>
      </c>
      <c r="D22" s="969" t="str">
        <f>IF(ISBLANK(B22),"",_xlfn.XLOOKUP(B22,tblIngredients[Article],tblIngredients[Unité conditionnement],""))</f>
        <v/>
      </c>
      <c r="E22" s="970" t="str">
        <f>IF(ISBLANK(B22),"",_xlfn.XLOOKUP(B22,tblIngredients[Article],tblIngredients[Coût d''achat HTVA  à l''unité],""))</f>
        <v/>
      </c>
      <c r="F22" s="241"/>
      <c r="G22" s="971" t="str">
        <f t="shared" si="0"/>
        <v/>
      </c>
      <c r="H22" s="5" t="str">
        <f t="shared" si="1"/>
        <v/>
      </c>
      <c r="I22" s="245"/>
      <c r="J22" s="243"/>
      <c r="K22" s="244"/>
    </row>
    <row r="23" spans="2:11" s="252" customFormat="1" ht="17.25" customHeight="1">
      <c r="B23" s="208"/>
      <c r="C23" s="968" t="str">
        <f>IF(ISBLANK(B23),"",_xlfn.XLOOKUP(B23,tblIngredients[Article],tblIngredients[Fournisseur],""))</f>
        <v/>
      </c>
      <c r="D23" s="969" t="str">
        <f>IF(ISBLANK(B23),"",_xlfn.XLOOKUP(B23,tblIngredients[Article],tblIngredients[Unité conditionnement],""))</f>
        <v/>
      </c>
      <c r="E23" s="970" t="str">
        <f>IF(ISBLANK(B23),"",_xlfn.XLOOKUP(B23,tblIngredients[Article],tblIngredients[Coût d''achat HTVA  à l''unité],""))</f>
        <v/>
      </c>
      <c r="F23" s="241"/>
      <c r="G23" s="971" t="str">
        <f t="shared" si="0"/>
        <v/>
      </c>
      <c r="H23" s="5" t="str">
        <f t="shared" si="1"/>
        <v/>
      </c>
      <c r="I23" s="245"/>
      <c r="J23" s="243"/>
      <c r="K23" s="244"/>
    </row>
    <row r="24" spans="2:11" s="252" customFormat="1" ht="17.25" customHeight="1">
      <c r="B24" s="208"/>
      <c r="C24" s="968" t="str">
        <f>IF(ISBLANK(B24),"",_xlfn.XLOOKUP(B24,tblIngredients[Article],tblIngredients[Fournisseur],""))</f>
        <v/>
      </c>
      <c r="D24" s="969" t="str">
        <f>IF(ISBLANK(B24),"",_xlfn.XLOOKUP(B24,tblIngredients[Article],tblIngredients[Unité conditionnement],""))</f>
        <v/>
      </c>
      <c r="E24" s="970" t="str">
        <f>IF(ISBLANK(B24),"",_xlfn.XLOOKUP(B24,tblIngredients[Article],tblIngredients[Coût d''achat HTVA  à l''unité],""))</f>
        <v/>
      </c>
      <c r="F24" s="241"/>
      <c r="G24" s="971" t="str">
        <f t="shared" si="0"/>
        <v/>
      </c>
      <c r="H24" s="5" t="str">
        <f t="shared" si="1"/>
        <v/>
      </c>
      <c r="I24" s="245"/>
      <c r="J24" s="243"/>
      <c r="K24" s="244"/>
    </row>
    <row r="25" spans="2:11" s="252" customFormat="1" ht="17.25" customHeight="1">
      <c r="B25" s="208"/>
      <c r="C25" s="968" t="str">
        <f>IF(ISBLANK(B25),"",_xlfn.XLOOKUP(B25,tblIngredients[Article],tblIngredients[Fournisseur],""))</f>
        <v/>
      </c>
      <c r="D25" s="969" t="str">
        <f>IF(ISBLANK(B25),"",_xlfn.XLOOKUP(B25,tblIngredients[Article],tblIngredients[Unité conditionnement],""))</f>
        <v/>
      </c>
      <c r="E25" s="970" t="str">
        <f>IF(ISBLANK(B25),"",_xlfn.XLOOKUP(B25,tblIngredients[Article],tblIngredients[Coût d''achat HTVA  à l''unité],""))</f>
        <v/>
      </c>
      <c r="F25" s="241"/>
      <c r="G25" s="971" t="str">
        <f t="shared" si="0"/>
        <v/>
      </c>
      <c r="H25" s="5" t="str">
        <f t="shared" si="1"/>
        <v/>
      </c>
      <c r="I25" s="245"/>
      <c r="J25" s="243"/>
      <c r="K25" s="244"/>
    </row>
    <row r="26" spans="2:11" s="252" customFormat="1" ht="17.25" customHeight="1">
      <c r="B26" s="208"/>
      <c r="C26" s="968" t="str">
        <f>IF(ISBLANK(B26),"",_xlfn.XLOOKUP(B26,tblIngredients[Article],tblIngredients[Fournisseur],""))</f>
        <v/>
      </c>
      <c r="D26" s="969" t="str">
        <f>IF(ISBLANK(B26),"",_xlfn.XLOOKUP(B26,tblIngredients[Article],tblIngredients[Unité conditionnement],""))</f>
        <v/>
      </c>
      <c r="E26" s="970" t="str">
        <f>IF(ISBLANK(B26),"",_xlfn.XLOOKUP(B26,tblIngredients[Article],tblIngredients[Coût d''achat HTVA  à l''unité],""))</f>
        <v/>
      </c>
      <c r="F26" s="241"/>
      <c r="G26" s="971" t="str">
        <f t="shared" si="0"/>
        <v/>
      </c>
      <c r="H26" s="5" t="str">
        <f t="shared" si="1"/>
        <v/>
      </c>
      <c r="I26" s="245"/>
      <c r="J26" s="243"/>
      <c r="K26" s="244"/>
    </row>
    <row r="27" spans="2:11" s="252" customFormat="1" ht="17.25" customHeight="1">
      <c r="B27" s="208"/>
      <c r="C27" s="968" t="str">
        <f>IF(ISBLANK(B27),"",_xlfn.XLOOKUP(B27,tblIngredients[Article],tblIngredients[Fournisseur],""))</f>
        <v/>
      </c>
      <c r="D27" s="969" t="str">
        <f>IF(ISBLANK(B27),"",_xlfn.XLOOKUP(B27,tblIngredients[Article],tblIngredients[Unité conditionnement],""))</f>
        <v/>
      </c>
      <c r="E27" s="970" t="str">
        <f>IF(ISBLANK(B27),"",_xlfn.XLOOKUP(B27,tblIngredients[Article],tblIngredients[Coût d''achat HTVA  à l''unité],""))</f>
        <v/>
      </c>
      <c r="F27" s="241"/>
      <c r="G27" s="971" t="str">
        <f t="shared" si="0"/>
        <v/>
      </c>
      <c r="H27" s="5" t="str">
        <f t="shared" si="1"/>
        <v/>
      </c>
      <c r="I27" s="245"/>
      <c r="J27" s="243"/>
      <c r="K27" s="244"/>
    </row>
    <row r="28" spans="2:11" s="252" customFormat="1" ht="17.25" customHeight="1">
      <c r="B28" s="208"/>
      <c r="C28" s="968"/>
      <c r="D28" s="969"/>
      <c r="E28" s="970"/>
      <c r="F28" s="241"/>
      <c r="G28" s="971"/>
      <c r="H28" s="5"/>
      <c r="I28" s="245"/>
      <c r="J28" s="243"/>
      <c r="K28" s="244"/>
    </row>
    <row r="29" spans="2:11" s="252" customFormat="1" ht="17.25" customHeight="1">
      <c r="B29" s="208"/>
      <c r="C29" s="968" t="str">
        <f>IF(ISBLANK(B29),"",_xlfn.XLOOKUP(B29,tblIngredients[Article],tblIngredients[Fournisseur],""))</f>
        <v/>
      </c>
      <c r="D29" s="969" t="str">
        <f>IF(ISBLANK(B29),"",_xlfn.XLOOKUP(B29,tblIngredients[Article],tblIngredients[Unité conditionnement],""))</f>
        <v/>
      </c>
      <c r="E29" s="970" t="str">
        <f>IF(ISBLANK(B29),"",_xlfn.XLOOKUP(B29,tblIngredients[Article],tblIngredients[Coût d''achat HTVA  à l''unité],""))</f>
        <v/>
      </c>
      <c r="F29" s="241"/>
      <c r="G29" s="971" t="str">
        <f t="shared" si="0"/>
        <v/>
      </c>
      <c r="H29" s="5" t="str">
        <f t="shared" si="1"/>
        <v/>
      </c>
      <c r="I29" s="245"/>
      <c r="J29" s="243"/>
      <c r="K29" s="244"/>
    </row>
    <row r="30" spans="2:11" s="252" customFormat="1" ht="17.25" customHeight="1">
      <c r="B30" s="208"/>
      <c r="C30" s="968" t="str">
        <f>IF(ISBLANK(B30),"",_xlfn.XLOOKUP(B30,tblIngredients[Article],tblIngredients[Fournisseur],""))</f>
        <v/>
      </c>
      <c r="D30" s="969" t="str">
        <f>IF(ISBLANK(B30),"",_xlfn.XLOOKUP(B30,tblIngredients[Article],tblIngredients[Unité conditionnement],""))</f>
        <v/>
      </c>
      <c r="E30" s="970" t="str">
        <f>IF(ISBLANK(B30),"",_xlfn.XLOOKUP(B30,tblIngredients[Article],tblIngredients[Coût d''achat HTVA  à l''unité],""))</f>
        <v/>
      </c>
      <c r="F30" s="241"/>
      <c r="G30" s="971" t="str">
        <f t="shared" si="0"/>
        <v/>
      </c>
      <c r="H30" s="5" t="str">
        <f t="shared" si="1"/>
        <v/>
      </c>
      <c r="I30" s="245"/>
      <c r="J30" s="243"/>
      <c r="K30" s="244"/>
    </row>
    <row r="31" spans="2:11" s="252" customFormat="1" ht="17.25" customHeight="1">
      <c r="B31" s="208"/>
      <c r="C31" s="968" t="str">
        <f>IF(ISBLANK(B31),"",_xlfn.XLOOKUP(B31,tblIngredients[Article],tblIngredients[Fournisseur],""))</f>
        <v/>
      </c>
      <c r="D31" s="969" t="str">
        <f>IF(ISBLANK(B31),"",_xlfn.XLOOKUP(B31,tblIngredients[Article],tblIngredients[Unité conditionnement],""))</f>
        <v/>
      </c>
      <c r="E31" s="970" t="str">
        <f>IF(ISBLANK(B31),"",_xlfn.XLOOKUP(B31,tblIngredients[Article],tblIngredients[Coût d''achat HTVA  à l''unité],""))</f>
        <v/>
      </c>
      <c r="F31" s="241"/>
      <c r="G31" s="971" t="str">
        <f t="shared" si="0"/>
        <v/>
      </c>
      <c r="H31" s="5" t="str">
        <f t="shared" si="1"/>
        <v/>
      </c>
      <c r="I31" s="245"/>
      <c r="J31" s="243"/>
      <c r="K31" s="244"/>
    </row>
    <row r="32" spans="2:11" s="252" customFormat="1" ht="17.25" customHeight="1">
      <c r="B32" s="208"/>
      <c r="C32" s="968" t="str">
        <f>IF(ISBLANK(B32),"",_xlfn.XLOOKUP(B32,tblIngredients[Article],tblIngredients[Fournisseur],""))</f>
        <v/>
      </c>
      <c r="D32" s="969" t="str">
        <f>IF(ISBLANK(B32),"",_xlfn.XLOOKUP(B32,tblIngredients[Article],tblIngredients[Unité conditionnement],""))</f>
        <v/>
      </c>
      <c r="E32" s="970" t="str">
        <f>IF(ISBLANK(B32),"",_xlfn.XLOOKUP(B32,tblIngredients[Article],tblIngredients[Coût d''achat HTVA  à l''unité],""))</f>
        <v/>
      </c>
      <c r="F32" s="241"/>
      <c r="G32" s="971" t="str">
        <f t="shared" si="0"/>
        <v/>
      </c>
      <c r="H32" s="5" t="str">
        <f t="shared" si="1"/>
        <v/>
      </c>
      <c r="I32" s="245"/>
      <c r="J32" s="243"/>
      <c r="K32" s="244"/>
    </row>
    <row r="33" spans="2:11" s="252" customFormat="1" ht="17.25" customHeight="1">
      <c r="B33" s="952" t="s">
        <v>29</v>
      </c>
      <c r="C33" s="952"/>
      <c r="D33" s="952"/>
      <c r="E33" s="952"/>
      <c r="F33" s="952"/>
      <c r="G33" s="953">
        <f>SUM(G17:G32)</f>
        <v>189.97874999999999</v>
      </c>
      <c r="H33" s="954">
        <f>IF(G33="","",G33/G$45)</f>
        <v>0.72032302138783477</v>
      </c>
      <c r="I33" s="955"/>
      <c r="J33" s="956"/>
      <c r="K33" s="957"/>
    </row>
    <row r="34" spans="2:11" s="252" customFormat="1" ht="17.25" customHeight="1">
      <c r="B34" s="208" t="s">
        <v>19</v>
      </c>
      <c r="C34" s="968" t="str">
        <f>IF(ISBLANK(B34),"",_xlfn.XLOOKUP(B34,tblConsommables[Article],tblConsommables[Fournisseur],""))</f>
        <v>Grossiste</v>
      </c>
      <c r="D34" s="969" t="str">
        <f>IF(ISBLANK(B34),"",_xlfn.XLOOKUP(B34,tblConsommables[Article],tblConsommables[Unité conditionnement],""))</f>
        <v>Unité</v>
      </c>
      <c r="E34" s="970">
        <f>IF(ISBLANK(B34),"",_xlfn.XLOOKUP(B34,tblConsommables[Article],tblConsommables[Coût d''achat HTVA  à l''unité],""))</f>
        <v>0.154</v>
      </c>
      <c r="F34" s="246">
        <v>230</v>
      </c>
      <c r="G34" s="972">
        <f>IF(OR(F34="",ISBLANK(F34)),"",E34*F34)</f>
        <v>35.42</v>
      </c>
      <c r="H34" s="6">
        <f>IF(OR(G34="",ISBLANK(G34)),"",G34/G$43)</f>
        <v>0.48988285410010646</v>
      </c>
      <c r="I34" s="245"/>
      <c r="J34" s="243"/>
      <c r="K34" s="247"/>
    </row>
    <row r="35" spans="2:11" s="252" customFormat="1" ht="17.25" customHeight="1">
      <c r="B35" s="208" t="s">
        <v>38</v>
      </c>
      <c r="C35" s="968" t="str">
        <f>IF(ISBLANK(B35),"",_xlfn.XLOOKUP(B35,tblConsommables[Article],tblConsommables[Fournisseur],""))</f>
        <v>Grossiste</v>
      </c>
      <c r="D35" s="969" t="str">
        <f>IF(ISBLANK(B35),"",_xlfn.XLOOKUP(B35,tblConsommables[Article],tblConsommables[Unité conditionnement],""))</f>
        <v>Unité</v>
      </c>
      <c r="E35" s="970">
        <f>IF(ISBLANK(B35),"",_xlfn.XLOOKUP(B35,tblConsommables[Article],tblConsommables[Coût d''achat HTVA  à l''unité],""))</f>
        <v>0.12</v>
      </c>
      <c r="F35" s="246">
        <v>250</v>
      </c>
      <c r="G35" s="972">
        <f t="shared" ref="G35:G42" si="2">IF(OR(F35="",ISBLANK(F35)),"",E35*F35)</f>
        <v>30</v>
      </c>
      <c r="H35" s="6">
        <f t="shared" ref="H35:H42" si="3">IF(OR(G35="",ISBLANK(G35)),"",G35/G$43)</f>
        <v>0.41492054271606982</v>
      </c>
      <c r="I35" s="245"/>
      <c r="J35" s="243"/>
      <c r="K35" s="247"/>
    </row>
    <row r="36" spans="2:11" s="252" customFormat="1" ht="17.25" customHeight="1">
      <c r="B36" s="208" t="s">
        <v>27</v>
      </c>
      <c r="C36" s="968" t="str">
        <f>IF(ISBLANK(B36),"",_xlfn.XLOOKUP(B36,tblConsommables[Article],tblConsommables[Fournisseur],""))</f>
        <v>Grossiste</v>
      </c>
      <c r="D36" s="969" t="str">
        <f>IF(ISBLANK(B36),"",_xlfn.XLOOKUP(B36,tblConsommables[Article],tblConsommables[Unité conditionnement],""))</f>
        <v>Rack de 1000</v>
      </c>
      <c r="E36" s="970">
        <f>IF(ISBLANK(B36),"",_xlfn.XLOOKUP(B36,tblConsommables[Article],tblConsommables[Coût d''achat HTVA  à l''unité],""))</f>
        <v>27.3</v>
      </c>
      <c r="F36" s="246">
        <v>0.25</v>
      </c>
      <c r="G36" s="972">
        <f t="shared" si="2"/>
        <v>6.8250000000000002</v>
      </c>
      <c r="H36" s="6">
        <f t="shared" si="3"/>
        <v>9.4394423467905886E-2</v>
      </c>
      <c r="I36" s="245"/>
      <c r="J36" s="243"/>
      <c r="K36" s="247"/>
    </row>
    <row r="37" spans="2:11" s="252" customFormat="1" ht="17.25" customHeight="1">
      <c r="B37" s="208" t="s">
        <v>370</v>
      </c>
      <c r="C37" s="968" t="str">
        <f>IF(ISBLANK(B37),"",_xlfn.XLOOKUP(B37,tblConsommables[Article],tblConsommables[Fournisseur],""))</f>
        <v>Grossiste</v>
      </c>
      <c r="D37" s="969" t="str">
        <f>IF(ISBLANK(B37),"",_xlfn.XLOOKUP(B37,tblConsommables[Article],tblConsommables[Unité conditionnement],""))</f>
        <v>Rack de 1000</v>
      </c>
      <c r="E37" s="970">
        <f>IF(ISBLANK(B37),"",_xlfn.XLOOKUP(B37,tblConsommables[Article],tblConsommables[Coût d''achat HTVA  à l''unité],""))</f>
        <v>58</v>
      </c>
      <c r="F37" s="246">
        <v>1E-3</v>
      </c>
      <c r="G37" s="972">
        <f t="shared" si="2"/>
        <v>5.8000000000000003E-2</v>
      </c>
      <c r="H37" s="6">
        <f t="shared" si="3"/>
        <v>8.0217971591773501E-4</v>
      </c>
      <c r="I37" s="245"/>
      <c r="J37" s="243"/>
      <c r="K37" s="247"/>
    </row>
    <row r="38" spans="2:11" s="252" customFormat="1" ht="17.25" customHeight="1">
      <c r="B38" s="208"/>
      <c r="C38" s="968" t="str">
        <f>IF(ISBLANK(B38),"",_xlfn.XLOOKUP(B38,tblConsommables[Article],tblConsommables[Fournisseur],""))</f>
        <v/>
      </c>
      <c r="D38" s="969" t="str">
        <f>IF(ISBLANK(B38),"",_xlfn.XLOOKUP(B38,tblConsommables[Article],tblConsommables[Unité conditionnement],""))</f>
        <v/>
      </c>
      <c r="E38" s="970" t="str">
        <f>IF(ISBLANK(B38),"",_xlfn.XLOOKUP(B38,tblConsommables[Article],tblConsommables[Coût d''achat HTVA  à l''unité],""))</f>
        <v/>
      </c>
      <c r="F38" s="246"/>
      <c r="G38" s="972" t="str">
        <f t="shared" si="2"/>
        <v/>
      </c>
      <c r="H38" s="6" t="str">
        <f t="shared" si="3"/>
        <v/>
      </c>
      <c r="I38" s="245"/>
      <c r="J38" s="243"/>
      <c r="K38" s="247"/>
    </row>
    <row r="39" spans="2:11" s="252" customFormat="1" ht="17.25" customHeight="1">
      <c r="B39" s="208"/>
      <c r="C39" s="968" t="str">
        <f>IF(ISBLANK(B39),"",_xlfn.XLOOKUP(B39,tblConsommables[Article],tblConsommables[Fournisseur],""))</f>
        <v/>
      </c>
      <c r="D39" s="969" t="str">
        <f>IF(ISBLANK(B39),"",_xlfn.XLOOKUP(B39,tblConsommables[Article],tblConsommables[Unité conditionnement],""))</f>
        <v/>
      </c>
      <c r="E39" s="970" t="str">
        <f>IF(ISBLANK(B39),"",_xlfn.XLOOKUP(B39,tblConsommables[Article],tblConsommables[Coût d''achat HTVA  à l''unité],""))</f>
        <v/>
      </c>
      <c r="F39" s="246"/>
      <c r="G39" s="972" t="str">
        <f t="shared" si="2"/>
        <v/>
      </c>
      <c r="H39" s="6" t="str">
        <f t="shared" si="3"/>
        <v/>
      </c>
      <c r="I39" s="245"/>
      <c r="J39" s="243"/>
      <c r="K39" s="247"/>
    </row>
    <row r="40" spans="2:11" s="252" customFormat="1" ht="17.25" customHeight="1">
      <c r="B40" s="208"/>
      <c r="C40" s="968" t="str">
        <f>IF(ISBLANK(B40),"",_xlfn.XLOOKUP(B40,tblConsommables[Article],tblConsommables[Fournisseur],""))</f>
        <v/>
      </c>
      <c r="D40" s="969" t="str">
        <f>IF(ISBLANK(B40),"",_xlfn.XLOOKUP(B40,tblConsommables[Article],tblConsommables[Unité conditionnement],""))</f>
        <v/>
      </c>
      <c r="E40" s="970" t="str">
        <f>IF(ISBLANK(B40),"",_xlfn.XLOOKUP(B40,tblConsommables[Article],tblConsommables[Coût d''achat HTVA  à l''unité],""))</f>
        <v/>
      </c>
      <c r="F40" s="246"/>
      <c r="G40" s="972" t="str">
        <f t="shared" si="2"/>
        <v/>
      </c>
      <c r="H40" s="6" t="str">
        <f t="shared" si="3"/>
        <v/>
      </c>
      <c r="I40" s="245"/>
      <c r="J40" s="243"/>
      <c r="K40" s="247"/>
    </row>
    <row r="41" spans="2:11" s="252" customFormat="1" ht="17.25" customHeight="1">
      <c r="B41" s="208"/>
      <c r="C41" s="968" t="str">
        <f>IF(ISBLANK(B41),"",_xlfn.XLOOKUP(B41,tblConsommables[Article],tblConsommables[Fournisseur],""))</f>
        <v/>
      </c>
      <c r="D41" s="969" t="str">
        <f>IF(ISBLANK(B41),"",_xlfn.XLOOKUP(B41,tblConsommables[Article],tblConsommables[Unité conditionnement],""))</f>
        <v/>
      </c>
      <c r="E41" s="970" t="str">
        <f>IF(ISBLANK(B41),"",_xlfn.XLOOKUP(B41,tblConsommables[Article],tblConsommables[Coût d''achat HTVA  à l''unité],""))</f>
        <v/>
      </c>
      <c r="F41" s="246"/>
      <c r="G41" s="972" t="str">
        <f t="shared" si="2"/>
        <v/>
      </c>
      <c r="H41" s="6" t="str">
        <f t="shared" si="3"/>
        <v/>
      </c>
      <c r="I41" s="245"/>
      <c r="J41" s="243"/>
      <c r="K41" s="247"/>
    </row>
    <row r="42" spans="2:11" s="252" customFormat="1" ht="17.25" customHeight="1" thickBot="1">
      <c r="B42" s="208"/>
      <c r="C42" s="968" t="str">
        <f>IF(ISBLANK(B42),"",_xlfn.XLOOKUP(B42,tblConsommables[Article],tblConsommables[Fournisseur],""))</f>
        <v/>
      </c>
      <c r="D42" s="969" t="str">
        <f>IF(ISBLANK(B42),"",_xlfn.XLOOKUP(B42,tblConsommables[Article],tblConsommables[Unité conditionnement],""))</f>
        <v/>
      </c>
      <c r="E42" s="970" t="str">
        <f>IF(ISBLANK(B42),"",_xlfn.XLOOKUP(B42,tblConsommables[Article],tblConsommables[Coût d''achat HTVA  à l''unité],""))</f>
        <v/>
      </c>
      <c r="F42" s="248"/>
      <c r="G42" s="972" t="str">
        <f t="shared" si="2"/>
        <v/>
      </c>
      <c r="H42" s="6" t="str">
        <f t="shared" si="3"/>
        <v/>
      </c>
      <c r="I42" s="245"/>
      <c r="J42" s="243"/>
      <c r="K42" s="247"/>
    </row>
    <row r="43" spans="2:11" s="252" customFormat="1" ht="17.25" customHeight="1" thickBot="1">
      <c r="B43" s="958" t="s">
        <v>31</v>
      </c>
      <c r="C43" s="959"/>
      <c r="D43" s="959"/>
      <c r="E43" s="959"/>
      <c r="F43" s="959"/>
      <c r="G43" s="960">
        <f>SUM(G34:G42)</f>
        <v>72.303000000000011</v>
      </c>
      <c r="H43" s="961">
        <f>IF(G43="","",G43/G$45)</f>
        <v>0.27414389985935073</v>
      </c>
      <c r="I43" s="962"/>
      <c r="J43" s="962"/>
      <c r="K43" s="962"/>
    </row>
    <row r="44" spans="2:11" s="252" customFormat="1" ht="17.25" customHeight="1">
      <c r="B44" s="958" t="s">
        <v>180</v>
      </c>
      <c r="C44" s="959"/>
      <c r="D44" s="959"/>
      <c r="E44" s="959"/>
      <c r="F44" s="959"/>
      <c r="G44" s="963">
        <f>J73</f>
        <v>1.4593</v>
      </c>
      <c r="H44" s="961">
        <f>IF(G44="","",G44/G$45)</f>
        <v>5.5330787528145515E-3</v>
      </c>
      <c r="I44" s="964"/>
      <c r="J44" s="962"/>
      <c r="K44" s="962"/>
    </row>
    <row r="45" spans="2:11" s="252" customFormat="1" ht="17.25" customHeight="1">
      <c r="B45" s="249" t="s">
        <v>273</v>
      </c>
      <c r="C45" s="250"/>
      <c r="D45" s="250"/>
      <c r="E45" s="250"/>
      <c r="F45" s="251"/>
      <c r="G45" s="973">
        <f>SUM(G33,G43,G44)</f>
        <v>263.74104999999997</v>
      </c>
      <c r="H45" s="7">
        <f>IF(G45="","",G45/G$45)</f>
        <v>1</v>
      </c>
    </row>
    <row r="46" spans="2:11" s="252" customFormat="1" ht="17.25" customHeight="1">
      <c r="B46" s="220" t="s">
        <v>274</v>
      </c>
      <c r="C46" s="253"/>
      <c r="D46" s="253"/>
      <c r="E46" s="253"/>
      <c r="F46" s="254"/>
      <c r="G46" s="973">
        <f>G45/D8</f>
        <v>1.1721824444444444</v>
      </c>
      <c r="H46" s="255"/>
    </row>
    <row r="47" spans="2:11" s="252" customFormat="1" ht="17.25" customHeight="1">
      <c r="H47" s="256"/>
    </row>
    <row r="48" spans="2:11" s="252" customFormat="1" ht="17.25" customHeight="1">
      <c r="B48" s="431" t="s">
        <v>275</v>
      </c>
      <c r="C48" s="432"/>
      <c r="D48" s="432"/>
      <c r="E48" s="432"/>
      <c r="F48" s="432"/>
      <c r="G48" s="433"/>
      <c r="H48" s="257"/>
      <c r="I48" s="431" t="s">
        <v>26</v>
      </c>
      <c r="J48" s="432"/>
      <c r="K48" s="433"/>
    </row>
    <row r="49" spans="2:17" s="252" customFormat="1" ht="17.25" customHeight="1">
      <c r="B49" s="220" t="s">
        <v>276</v>
      </c>
      <c r="C49" s="258"/>
      <c r="D49" s="258"/>
      <c r="E49" s="259"/>
      <c r="F49" s="260"/>
      <c r="G49" s="974">
        <f>D10</f>
        <v>4.0599999999999996</v>
      </c>
      <c r="H49" s="261"/>
      <c r="I49" s="220" t="s">
        <v>9</v>
      </c>
      <c r="J49" s="254"/>
      <c r="K49" s="974">
        <f>G10</f>
        <v>4.6698113207547172</v>
      </c>
    </row>
    <row r="50" spans="2:17" s="252" customFormat="1" ht="17.25" customHeight="1">
      <c r="B50" s="220" t="s">
        <v>277</v>
      </c>
      <c r="C50" s="258"/>
      <c r="D50" s="258"/>
      <c r="E50" s="253"/>
      <c r="F50" s="262"/>
      <c r="G50" s="975">
        <f>G49-G46</f>
        <v>2.8878175555555554</v>
      </c>
      <c r="H50" s="263"/>
      <c r="I50" s="220" t="s">
        <v>10</v>
      </c>
      <c r="J50" s="254"/>
      <c r="K50" s="975">
        <f>K49-G46</f>
        <v>3.497628876310273</v>
      </c>
    </row>
    <row r="51" spans="2:17" s="252" customFormat="1" ht="17.25" customHeight="1">
      <c r="B51" s="220" t="s">
        <v>378</v>
      </c>
      <c r="C51" s="258"/>
      <c r="D51" s="258"/>
      <c r="E51" s="253"/>
      <c r="F51" s="260"/>
      <c r="G51" s="975">
        <f>G50*$D8</f>
        <v>649.75894999999991</v>
      </c>
      <c r="H51" s="263"/>
      <c r="I51" s="220" t="s">
        <v>378</v>
      </c>
      <c r="J51" s="254"/>
      <c r="K51" s="975">
        <f>K50*$D8</f>
        <v>786.96649716981142</v>
      </c>
    </row>
    <row r="52" spans="2:17" s="252" customFormat="1" ht="17.25" customHeight="1">
      <c r="B52" s="220" t="s">
        <v>379</v>
      </c>
      <c r="C52" s="258"/>
      <c r="D52" s="258"/>
      <c r="E52" s="253"/>
      <c r="F52" s="260"/>
      <c r="G52" s="975">
        <f>G51/($C73*(1/60))</f>
        <v>135.36644791666666</v>
      </c>
      <c r="H52" s="263"/>
      <c r="I52" s="220" t="s">
        <v>379</v>
      </c>
      <c r="J52" s="254"/>
      <c r="K52" s="975">
        <f>K51/($C73*(1/60))</f>
        <v>163.95135357704405</v>
      </c>
    </row>
    <row r="53" spans="2:17" s="252" customFormat="1" ht="17.25" customHeight="1">
      <c r="B53" s="220" t="s">
        <v>278</v>
      </c>
      <c r="C53" s="258"/>
      <c r="D53" s="258"/>
      <c r="E53" s="253"/>
      <c r="F53" s="260"/>
      <c r="G53" s="8">
        <f>G50/$G$46</f>
        <v>2.4636246424286243</v>
      </c>
      <c r="H53" s="264"/>
      <c r="I53" s="220" t="s">
        <v>11</v>
      </c>
      <c r="J53" s="254"/>
      <c r="K53" s="8">
        <f>K50/$G$46</f>
        <v>2.9838604842507888</v>
      </c>
    </row>
    <row r="54" spans="2:17" s="252" customFormat="1" ht="17.25" customHeight="1" thickBot="1">
      <c r="B54" s="220" t="s">
        <v>12</v>
      </c>
      <c r="C54" s="258"/>
      <c r="D54" s="258"/>
      <c r="E54" s="253"/>
      <c r="F54" s="260"/>
      <c r="G54" s="976">
        <f>G49/$G$46</f>
        <v>3.4636246424286243</v>
      </c>
      <c r="H54" s="261"/>
      <c r="I54" s="220" t="s">
        <v>12</v>
      </c>
      <c r="J54" s="254"/>
      <c r="K54" s="976">
        <f>K49/$G$46</f>
        <v>3.9838604842507883</v>
      </c>
    </row>
    <row r="55" spans="2:17" ht="13.8">
      <c r="B55" s="220" t="s">
        <v>13</v>
      </c>
      <c r="C55" s="258"/>
      <c r="D55" s="258"/>
      <c r="E55" s="265"/>
      <c r="F55" s="266"/>
      <c r="G55" s="9">
        <f>G46/G49</f>
        <v>0.28871488779419818</v>
      </c>
      <c r="I55" s="220" t="s">
        <v>13</v>
      </c>
      <c r="J55" s="254"/>
      <c r="K55" s="9">
        <f>G46/K49</f>
        <v>0.25101280628507294</v>
      </c>
      <c r="L55" s="252"/>
      <c r="M55" s="252"/>
      <c r="N55" s="252"/>
      <c r="O55" s="252"/>
      <c r="P55" s="252"/>
      <c r="Q55" s="252"/>
    </row>
    <row r="56" spans="2:17" ht="14.4" thickBot="1">
      <c r="B56" s="220" t="s">
        <v>371</v>
      </c>
      <c r="F56" s="267"/>
      <c r="G56" s="34">
        <f ca="1">'4. CHARGES FIXES'!J18/(1-G55)</f>
        <v>29865.873899911589</v>
      </c>
      <c r="I56" s="220" t="s">
        <v>373</v>
      </c>
      <c r="K56" s="34">
        <f ca="1">'4. CHARGES FIXES'!J18/(1-K55)</f>
        <v>28362.502918986254</v>
      </c>
      <c r="L56" s="252"/>
      <c r="M56" s="252"/>
      <c r="N56" s="252"/>
      <c r="O56" s="252"/>
      <c r="P56" s="252"/>
      <c r="Q56" s="252"/>
    </row>
    <row r="57" spans="2:17" ht="14.4" thickBot="1">
      <c r="B57" s="268" t="s">
        <v>372</v>
      </c>
      <c r="F57" s="267"/>
      <c r="G57" s="977">
        <f ca="1">G56/G49</f>
        <v>7356.1265763329047</v>
      </c>
      <c r="I57" s="220" t="s">
        <v>374</v>
      </c>
      <c r="K57" s="977">
        <f ca="1">K56/K49</f>
        <v>6073.5864836617029</v>
      </c>
      <c r="L57" s="252"/>
      <c r="M57" s="252"/>
      <c r="N57" s="252"/>
      <c r="O57" s="252"/>
      <c r="P57" s="252"/>
      <c r="Q57" s="252"/>
    </row>
    <row r="58" spans="2:17" ht="14.4" thickBot="1">
      <c r="F58" s="267"/>
      <c r="K58" s="252"/>
      <c r="L58" s="252"/>
      <c r="M58" s="252"/>
      <c r="N58" s="252"/>
      <c r="O58" s="252"/>
      <c r="P58" s="252"/>
      <c r="Q58" s="252"/>
    </row>
    <row r="59" spans="2:17" ht="13.8">
      <c r="B59" s="436" t="s">
        <v>279</v>
      </c>
      <c r="C59" s="437"/>
      <c r="D59" s="437"/>
      <c r="E59" s="437"/>
      <c r="F59" s="437"/>
      <c r="G59" s="437"/>
      <c r="H59" s="437"/>
      <c r="I59" s="437"/>
      <c r="J59" s="438"/>
      <c r="K59" s="252"/>
      <c r="L59" s="252"/>
      <c r="M59" s="252"/>
      <c r="N59" s="252"/>
      <c r="O59" s="252"/>
      <c r="P59" s="252"/>
      <c r="Q59" s="252"/>
    </row>
    <row r="60" spans="2:17" ht="13.8">
      <c r="B60" s="269" t="s">
        <v>41</v>
      </c>
      <c r="C60" s="269" t="s">
        <v>280</v>
      </c>
      <c r="D60" s="269" t="s">
        <v>168</v>
      </c>
      <c r="E60" s="269" t="s">
        <v>282</v>
      </c>
      <c r="F60" s="269" t="s">
        <v>169</v>
      </c>
      <c r="G60" s="269" t="s">
        <v>172</v>
      </c>
      <c r="H60" s="269" t="s">
        <v>170</v>
      </c>
      <c r="I60" s="269" t="s">
        <v>174</v>
      </c>
      <c r="J60" s="269" t="s">
        <v>179</v>
      </c>
    </row>
    <row r="61" spans="2:17" ht="13.8">
      <c r="B61" s="270" t="s">
        <v>46</v>
      </c>
      <c r="C61" s="271">
        <v>20</v>
      </c>
      <c r="D61" s="271">
        <v>0</v>
      </c>
      <c r="E61" s="978">
        <f>C61+D61</f>
        <v>20</v>
      </c>
      <c r="F61" s="271"/>
      <c r="G61" s="271"/>
      <c r="H61" s="978">
        <f t="shared" ref="H61:H62" si="4">G61*D61/60</f>
        <v>0</v>
      </c>
      <c r="I61" s="272"/>
      <c r="J61" s="979" cm="1">
        <f t="array" ref="J61">_xlfn.IFS(I61=Listes!$C$2,'1. DONNEES DE BASE'!$B$2*H61,'FT_PROD (3)'!I61=Listes!$C$3,'1. DONNEES DE BASE'!$B$3*'FT_PROD (3)'!H61,TRUE,0)</f>
        <v>0</v>
      </c>
    </row>
    <row r="62" spans="2:17" ht="13.8">
      <c r="B62" s="270" t="s">
        <v>45</v>
      </c>
      <c r="C62" s="271">
        <v>120</v>
      </c>
      <c r="D62" s="271">
        <v>0</v>
      </c>
      <c r="E62" s="978">
        <f t="shared" ref="E62:E72" si="5">C62+D62</f>
        <v>120</v>
      </c>
      <c r="F62" s="271"/>
      <c r="G62" s="271"/>
      <c r="H62" s="978">
        <f t="shared" si="4"/>
        <v>0</v>
      </c>
      <c r="I62" s="272"/>
      <c r="J62" s="979" cm="1">
        <f t="array" ref="J62">_xlfn.IFS(I62=Listes!$C$2,'1. DONNEES DE BASE'!$B$2*H62,'FT_PROD (3)'!I62=Listes!$C$3,'1. DONNEES DE BASE'!$B$3*'FT_PROD (3)'!H62,TRUE,0)</f>
        <v>0</v>
      </c>
    </row>
    <row r="63" spans="2:17" ht="13.8">
      <c r="B63" s="270" t="s">
        <v>42</v>
      </c>
      <c r="C63" s="271">
        <v>10</v>
      </c>
      <c r="D63" s="273">
        <v>120</v>
      </c>
      <c r="E63" s="978">
        <f t="shared" si="5"/>
        <v>130</v>
      </c>
      <c r="F63" s="271" t="s">
        <v>173</v>
      </c>
      <c r="G63" s="271">
        <v>3</v>
      </c>
      <c r="H63" s="978">
        <f>G63*D63/60</f>
        <v>6</v>
      </c>
      <c r="I63" s="272" t="s">
        <v>175</v>
      </c>
      <c r="J63" s="979" cm="1">
        <f t="array" ref="J63">_xlfn.IFS(I63=Listes!$C$2,'1. DONNEES DE BASE'!$B$2*H63,'FT_PROD (3)'!I63=Listes!$C$3,'1. DONNEES DE BASE'!$B$3*'FT_PROD (3)'!H63,TRUE,0)</f>
        <v>0.48180000000000001</v>
      </c>
    </row>
    <row r="64" spans="2:17" ht="13.8">
      <c r="B64" s="270" t="s">
        <v>43</v>
      </c>
      <c r="C64" s="271">
        <v>3</v>
      </c>
      <c r="D64" s="271">
        <v>0</v>
      </c>
      <c r="E64" s="978">
        <f t="shared" si="5"/>
        <v>3</v>
      </c>
      <c r="F64" s="271"/>
      <c r="G64" s="271"/>
      <c r="H64" s="978">
        <f t="shared" ref="H64:H72" si="6">G64*D64/60</f>
        <v>0</v>
      </c>
      <c r="I64" s="272"/>
      <c r="J64" s="979" cm="1">
        <f t="array" ref="J64">_xlfn.IFS(I64=Listes!$C$2,'1. DONNEES DE BASE'!$B$2*H64,'FT_PROD (3)'!I64=Listes!$C$3,'1. DONNEES DE BASE'!$B$3*'FT_PROD (3)'!H64,TRUE,0)</f>
        <v>0</v>
      </c>
    </row>
    <row r="65" spans="2:10" ht="13.8">
      <c r="B65" s="270" t="s">
        <v>44</v>
      </c>
      <c r="C65" s="271">
        <v>15</v>
      </c>
      <c r="D65" s="273">
        <v>120</v>
      </c>
      <c r="E65" s="978">
        <f t="shared" si="5"/>
        <v>135</v>
      </c>
      <c r="F65" s="271"/>
      <c r="G65" s="271">
        <v>2</v>
      </c>
      <c r="H65" s="978">
        <f t="shared" si="6"/>
        <v>4</v>
      </c>
      <c r="I65" s="272" t="s">
        <v>176</v>
      </c>
      <c r="J65" s="979" cm="1">
        <f t="array" ref="J65">_xlfn.IFS(I65=Listes!$C$2,'1. DONNEES DE BASE'!$B$2*H65,'FT_PROD (3)'!I65=Listes!$C$3,'1. DONNEES DE BASE'!$B$3*'FT_PROD (3)'!H65,TRUE,0)</f>
        <v>0.8</v>
      </c>
    </row>
    <row r="66" spans="2:10" ht="13.8">
      <c r="B66" s="270" t="s">
        <v>27</v>
      </c>
      <c r="C66" s="271">
        <v>120</v>
      </c>
      <c r="D66" s="271">
        <v>0</v>
      </c>
      <c r="E66" s="978">
        <f t="shared" si="5"/>
        <v>120</v>
      </c>
      <c r="F66" s="271"/>
      <c r="G66" s="271"/>
      <c r="H66" s="978">
        <f t="shared" si="6"/>
        <v>0</v>
      </c>
      <c r="I66" s="272"/>
      <c r="J66" s="979" cm="1">
        <f t="array" ref="J66">_xlfn.IFS(I66=Listes!$C$2,'1. DONNEES DE BASE'!$B$2*H66,'FT_PROD (3)'!I66=Listes!$C$3,'1. DONNEES DE BASE'!$B$3*'FT_PROD (3)'!H66,TRUE,0)</f>
        <v>0</v>
      </c>
    </row>
    <row r="67" spans="2:10" ht="13.8">
      <c r="B67" s="274" t="s">
        <v>167</v>
      </c>
      <c r="C67" s="271">
        <v>0</v>
      </c>
      <c r="D67" s="271">
        <v>0</v>
      </c>
      <c r="E67" s="978">
        <f t="shared" si="5"/>
        <v>0</v>
      </c>
      <c r="F67" s="271"/>
      <c r="G67" s="271"/>
      <c r="H67" s="978">
        <f t="shared" si="6"/>
        <v>0</v>
      </c>
      <c r="I67" s="272"/>
      <c r="J67" s="979" cm="1">
        <f t="array" ref="J67">_xlfn.IFS(I67=Listes!$C$2,'1. DONNEES DE BASE'!$B$2*H67,'FT_PROD (3)'!I67=Listes!$C$3,'1. DONNEES DE BASE'!$B$3*'FT_PROD (3)'!H67,TRUE,0)</f>
        <v>0</v>
      </c>
    </row>
    <row r="68" spans="2:10" ht="13.8">
      <c r="B68" s="274" t="s">
        <v>48</v>
      </c>
      <c r="C68" s="271">
        <v>0</v>
      </c>
      <c r="D68" s="271">
        <v>15</v>
      </c>
      <c r="E68" s="978">
        <f t="shared" si="5"/>
        <v>15</v>
      </c>
      <c r="F68" s="271" t="s">
        <v>171</v>
      </c>
      <c r="G68" s="271">
        <v>3.55</v>
      </c>
      <c r="H68" s="978">
        <f t="shared" si="6"/>
        <v>0.88749999999999996</v>
      </c>
      <c r="I68" s="272" t="s">
        <v>176</v>
      </c>
      <c r="J68" s="979" cm="1">
        <f t="array" ref="J68">_xlfn.IFS(I68=Listes!$C$2,'1. DONNEES DE BASE'!$B$2*H68,'FT_PROD (3)'!I68=Listes!$C$3,'1. DONNEES DE BASE'!$B$3*'FT_PROD (3)'!H68,TRUE,0)</f>
        <v>0.17749999999999999</v>
      </c>
    </row>
    <row r="69" spans="2:10" ht="13.8">
      <c r="B69" s="274" t="s">
        <v>283</v>
      </c>
      <c r="C69" s="271">
        <v>0</v>
      </c>
      <c r="D69" s="271">
        <v>0</v>
      </c>
      <c r="E69" s="978">
        <f t="shared" si="5"/>
        <v>0</v>
      </c>
      <c r="F69" s="271"/>
      <c r="G69" s="271"/>
      <c r="H69" s="978">
        <f t="shared" si="6"/>
        <v>0</v>
      </c>
      <c r="I69" s="272"/>
      <c r="J69" s="979" cm="1">
        <f t="array" ref="J69">_xlfn.IFS(I69=Listes!$C$2,'1. DONNEES DE BASE'!$B$2*H69,'FT_PROD (3)'!I69=Listes!$C$3,'1. DONNEES DE BASE'!$B$3*'FT_PROD (3)'!H69,TRUE,0)</f>
        <v>0</v>
      </c>
    </row>
    <row r="70" spans="2:10" ht="13.8">
      <c r="B70" s="274" t="s">
        <v>284</v>
      </c>
      <c r="C70" s="271">
        <v>0</v>
      </c>
      <c r="D70" s="271">
        <v>0</v>
      </c>
      <c r="E70" s="978">
        <f t="shared" si="5"/>
        <v>0</v>
      </c>
      <c r="F70" s="271"/>
      <c r="G70" s="271"/>
      <c r="H70" s="978">
        <f t="shared" si="6"/>
        <v>0</v>
      </c>
      <c r="I70" s="272"/>
      <c r="J70" s="979" cm="1">
        <f t="array" ref="J70">_xlfn.IFS(I70=Listes!$C$2,'1. DONNEES DE BASE'!$B$2*H70,'FT_PROD (3)'!I70=Listes!$C$3,'1. DONNEES DE BASE'!$B$3*'FT_PROD (3)'!H70,TRUE,0)</f>
        <v>0</v>
      </c>
    </row>
    <row r="71" spans="2:10" ht="13.8">
      <c r="B71" s="274" t="s">
        <v>285</v>
      </c>
      <c r="C71" s="271">
        <v>0</v>
      </c>
      <c r="D71" s="271">
        <v>0</v>
      </c>
      <c r="E71" s="978">
        <f t="shared" si="5"/>
        <v>0</v>
      </c>
      <c r="F71" s="271"/>
      <c r="G71" s="271"/>
      <c r="H71" s="978">
        <f t="shared" si="6"/>
        <v>0</v>
      </c>
      <c r="I71" s="272"/>
      <c r="J71" s="979" cm="1">
        <f t="array" ref="J71">_xlfn.IFS(I71=Listes!$C$2,'1. DONNEES DE BASE'!$B$2*H71,'FT_PROD (3)'!I71=Listes!$C$3,'1. DONNEES DE BASE'!$B$3*'FT_PROD (3)'!H71,TRUE,0)</f>
        <v>0</v>
      </c>
    </row>
    <row r="72" spans="2:10" ht="13.8">
      <c r="B72" s="274" t="s">
        <v>286</v>
      </c>
      <c r="C72" s="271">
        <v>0</v>
      </c>
      <c r="D72" s="271">
        <v>0</v>
      </c>
      <c r="E72" s="978">
        <f t="shared" si="5"/>
        <v>0</v>
      </c>
      <c r="F72" s="271"/>
      <c r="G72" s="271"/>
      <c r="H72" s="978">
        <f t="shared" si="6"/>
        <v>0</v>
      </c>
      <c r="I72" s="272"/>
      <c r="J72" s="979" cm="1">
        <f t="array" ref="J72">_xlfn.IFS(I72=Listes!$C$2,'1. DONNEES DE BASE'!$B$2*H72,'FT_PROD (3)'!I72=Listes!$C$3,'1. DONNEES DE BASE'!$B$3*'FT_PROD (3)'!H72,TRUE,0)</f>
        <v>0</v>
      </c>
    </row>
    <row r="73" spans="2:10" ht="14.4" thickBot="1">
      <c r="B73" s="980" t="s">
        <v>47</v>
      </c>
      <c r="C73" s="981">
        <f>SUM(C61:C72)</f>
        <v>288</v>
      </c>
      <c r="D73" s="981">
        <f>SUM(D61:D72)</f>
        <v>255</v>
      </c>
      <c r="E73" s="981">
        <f>SUM(E61:E72)</f>
        <v>543</v>
      </c>
      <c r="F73" s="981"/>
      <c r="G73" s="981"/>
      <c r="H73" s="981">
        <f>SUM(H61:H72)</f>
        <v>10.887499999999999</v>
      </c>
      <c r="I73" s="981"/>
      <c r="J73" s="10">
        <f>SUMIF(J61:J72,"&lt;&gt;#N/A")</f>
        <v>1.4593</v>
      </c>
    </row>
    <row r="76" spans="2:10">
      <c r="B76" s="275" t="s">
        <v>497</v>
      </c>
      <c r="C76" s="275"/>
    </row>
    <row r="77" spans="2:10">
      <c r="B77" s="276" t="s">
        <v>498</v>
      </c>
      <c r="C77" s="982">
        <f>SUMIFS(G17:G32,C17:C32,"Auto")</f>
        <v>175</v>
      </c>
    </row>
    <row r="78" spans="2:10">
      <c r="B78" s="276" t="s">
        <v>499</v>
      </c>
      <c r="C78" s="983">
        <f>C77/D8</f>
        <v>0.77777777777777779</v>
      </c>
    </row>
  </sheetData>
  <sheetProtection algorithmName="SHA-512" hashValue="PBbBo1k51tmWoNnI+3opA0WtFwNqsIcnJKa69nAKVwtpKERFGyRRAsFvjhwQezb6hikJ7CSvhZr7wA7dbu5bFw==" saltValue="ikQp0nClOhRn9q3otXKTBA==" spinCount="100000" sheet="1" objects="1" scenarios="1" formatCells="0" formatColumns="0" formatRows="0" insertRows="0" insertHyperlinks="0" sort="0" autoFilter="0" pivotTables="0"/>
  <protectedRanges>
    <protectedRange sqref="I61:I72" name="TYpe energie"/>
    <protectedRange sqref="C2:C3 D5:D6 D8 D10:D11 G11:G12" name="Données de base"/>
    <protectedRange sqref="I17:K32 I34:K42 B34:F42 B17:F32" name="Ingred et consommables"/>
    <protectedRange sqref="B61:D72 F61:G72" name="Energie et travail"/>
  </protectedRanges>
  <mergeCells count="17">
    <mergeCell ref="B33:F33"/>
    <mergeCell ref="H4:J4"/>
    <mergeCell ref="H5:J5"/>
    <mergeCell ref="H6:J6"/>
    <mergeCell ref="H7:J7"/>
    <mergeCell ref="H8:J8"/>
    <mergeCell ref="H9:J9"/>
    <mergeCell ref="H10:J10"/>
    <mergeCell ref="H11:J11"/>
    <mergeCell ref="H12:J12"/>
    <mergeCell ref="H13:J13"/>
    <mergeCell ref="I16:K16"/>
    <mergeCell ref="B43:F43"/>
    <mergeCell ref="B44:F44"/>
    <mergeCell ref="B48:G48"/>
    <mergeCell ref="I48:K48"/>
    <mergeCell ref="B59:J59"/>
  </mergeCells>
  <dataValidations count="2">
    <dataValidation type="list" allowBlank="1" showInputMessage="1" showErrorMessage="1" errorTitle="Ingrédient invalide" error="Veuillez sélectionner un ingrédient dans la liste." sqref="B17:B32" xr:uid="{6DFBD26C-F74E-4269-B63D-F9CB60FA72B1}">
      <formula1>ListeIngredients</formula1>
    </dataValidation>
    <dataValidation type="list" allowBlank="1" showInputMessage="1" showErrorMessage="1" errorTitle="Consommable invalide" error="Veuillez sélectionner un consommable dans la liste." sqref="B34:B42" xr:uid="{1A11D486-257B-474B-B290-E0BE3B22411A}">
      <formula1>ListeConsommables</formula1>
    </dataValidation>
  </dataValidations>
  <pageMargins left="0.39370078740157483" right="0.39370078740157483" top="0.39370078740157483" bottom="0.39370078740157483" header="0.51181102362204722" footer="0.51181102362204722"/>
  <pageSetup paperSize="9" scale="65"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D5F0241-9AA1-4596-A7CD-10C92FEA0483}">
          <x14:formula1>
            <xm:f>Listes!$C$2:$C$5</xm:f>
          </x14:formula1>
          <xm:sqref>I61:I63 I65:I72</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17A30-990F-48BC-BC3B-29DDD309DDEB}">
  <sheetPr>
    <pageSetUpPr fitToPage="1"/>
  </sheetPr>
  <dimension ref="B1:Q78"/>
  <sheetViews>
    <sheetView showGridLines="0" zoomScale="85" zoomScaleNormal="85" workbookViewId="0">
      <selection activeCell="C4" sqref="C4"/>
    </sheetView>
  </sheetViews>
  <sheetFormatPr baseColWidth="10" defaultColWidth="11.44140625" defaultRowHeight="13.2"/>
  <cols>
    <col min="1" max="1" width="1.44140625" style="219" customWidth="1"/>
    <col min="2" max="2" width="23.109375" style="219" customWidth="1"/>
    <col min="3" max="3" width="20" style="219" customWidth="1"/>
    <col min="4" max="4" width="19" style="219" customWidth="1"/>
    <col min="5" max="5" width="13.6640625" style="219" bestFit="1" customWidth="1"/>
    <col min="6" max="6" width="23.21875" style="219" customWidth="1"/>
    <col min="7" max="7" width="14.5546875" style="219" customWidth="1"/>
    <col min="8" max="8" width="14.109375" style="219" customWidth="1"/>
    <col min="9" max="9" width="17.33203125" style="219" customWidth="1"/>
    <col min="10" max="10" width="16.6640625" style="219" customWidth="1"/>
    <col min="11" max="11" width="12.109375" style="219" customWidth="1"/>
    <col min="12" max="16384" width="11.44140625" style="219"/>
  </cols>
  <sheetData>
    <row r="1" spans="2:11" ht="47.25" customHeight="1">
      <c r="B1" s="216" t="s">
        <v>37</v>
      </c>
      <c r="C1" s="217"/>
      <c r="D1" s="217"/>
      <c r="E1" s="217"/>
      <c r="F1" s="217"/>
      <c r="G1" s="217"/>
      <c r="H1" s="217"/>
      <c r="I1" s="217"/>
      <c r="J1" s="218"/>
    </row>
    <row r="2" spans="2:11" ht="16.2" customHeight="1">
      <c r="B2" s="220" t="s">
        <v>39</v>
      </c>
      <c r="C2" s="221" t="s">
        <v>375</v>
      </c>
      <c r="D2" s="222"/>
      <c r="E2" s="223"/>
      <c r="F2" s="217"/>
      <c r="G2" s="217"/>
      <c r="H2" s="217"/>
      <c r="I2" s="217"/>
    </row>
    <row r="3" spans="2:11" ht="18.75" customHeight="1">
      <c r="B3" s="220" t="s">
        <v>23</v>
      </c>
      <c r="C3" s="221" t="s">
        <v>519</v>
      </c>
      <c r="D3" s="222"/>
      <c r="E3" s="223"/>
      <c r="F3" s="217"/>
      <c r="G3" s="217"/>
      <c r="H3" s="217"/>
      <c r="I3" s="217"/>
    </row>
    <row r="4" spans="2:11" ht="18.75" customHeight="1">
      <c r="B4" s="224"/>
      <c r="C4" s="217"/>
      <c r="D4" s="217"/>
      <c r="F4" s="217"/>
      <c r="G4" s="217"/>
      <c r="H4" s="434" t="s">
        <v>287</v>
      </c>
      <c r="I4" s="434"/>
      <c r="J4" s="434"/>
    </row>
    <row r="5" spans="2:11" ht="19.95" customHeight="1">
      <c r="B5" s="220" t="s">
        <v>265</v>
      </c>
      <c r="C5" s="225"/>
      <c r="D5" s="226">
        <v>50</v>
      </c>
      <c r="E5" s="227"/>
      <c r="F5" s="228"/>
      <c r="G5" s="229"/>
      <c r="H5" s="435" t="s">
        <v>266</v>
      </c>
      <c r="I5" s="428"/>
      <c r="J5" s="428"/>
    </row>
    <row r="6" spans="2:11" ht="19.95" customHeight="1">
      <c r="B6" s="220" t="s">
        <v>267</v>
      </c>
      <c r="C6" s="225"/>
      <c r="D6" s="230">
        <v>0.2</v>
      </c>
      <c r="E6" s="227"/>
      <c r="F6" s="228"/>
      <c r="G6" s="229"/>
      <c r="H6" s="428"/>
      <c r="I6" s="428"/>
      <c r="J6" s="428"/>
    </row>
    <row r="7" spans="2:11" ht="19.95" customHeight="1">
      <c r="B7" s="220" t="s">
        <v>35</v>
      </c>
      <c r="C7" s="225"/>
      <c r="D7" s="965">
        <f>D5/D6</f>
        <v>250</v>
      </c>
      <c r="E7" s="227"/>
      <c r="F7" s="228"/>
      <c r="G7" s="229"/>
      <c r="H7" s="428"/>
      <c r="I7" s="428"/>
      <c r="J7" s="428"/>
    </row>
    <row r="8" spans="2:11" ht="19.95" customHeight="1">
      <c r="B8" s="220" t="s">
        <v>36</v>
      </c>
      <c r="C8" s="225"/>
      <c r="D8" s="230">
        <v>225</v>
      </c>
      <c r="E8" s="227"/>
      <c r="F8" s="228"/>
      <c r="G8" s="229"/>
      <c r="H8" s="428" t="s">
        <v>268</v>
      </c>
      <c r="I8" s="428"/>
      <c r="J8" s="428"/>
    </row>
    <row r="9" spans="2:11" ht="19.95" customHeight="1">
      <c r="B9" s="220" t="s">
        <v>34</v>
      </c>
      <c r="C9" s="225"/>
      <c r="D9" s="4">
        <f>1-(D8/D7)</f>
        <v>9.9999999999999978E-2</v>
      </c>
      <c r="E9" s="227"/>
      <c r="F9" s="228"/>
      <c r="G9" s="229"/>
      <c r="H9" s="428" t="s">
        <v>269</v>
      </c>
      <c r="I9" s="428"/>
      <c r="J9" s="428"/>
    </row>
    <row r="10" spans="2:11" ht="19.95" customHeight="1">
      <c r="B10" s="220" t="s">
        <v>25</v>
      </c>
      <c r="C10" s="225"/>
      <c r="D10" s="231">
        <v>4.0599999999999996</v>
      </c>
      <c r="E10" s="220" t="s">
        <v>32</v>
      </c>
      <c r="F10" s="232"/>
      <c r="G10" s="966">
        <f>G12/(1+G11)</f>
        <v>4.6698113207547172</v>
      </c>
      <c r="H10" s="428"/>
      <c r="I10" s="428"/>
      <c r="J10" s="428"/>
    </row>
    <row r="11" spans="2:11" ht="19.95" customHeight="1">
      <c r="B11" s="220" t="s">
        <v>3</v>
      </c>
      <c r="C11" s="225"/>
      <c r="D11" s="233">
        <v>0.06</v>
      </c>
      <c r="E11" s="220" t="s">
        <v>3</v>
      </c>
      <c r="F11" s="232"/>
      <c r="G11" s="234">
        <v>0.06</v>
      </c>
      <c r="H11" s="428"/>
      <c r="I11" s="428"/>
      <c r="J11" s="428"/>
    </row>
    <row r="12" spans="2:11" ht="19.95" customHeight="1">
      <c r="B12" s="220" t="s">
        <v>33</v>
      </c>
      <c r="C12" s="225"/>
      <c r="D12" s="967">
        <f>D10*(1+D11)</f>
        <v>4.3035999999999994</v>
      </c>
      <c r="E12" s="220" t="s">
        <v>24</v>
      </c>
      <c r="F12" s="232"/>
      <c r="G12" s="235">
        <v>4.95</v>
      </c>
      <c r="H12" s="428"/>
      <c r="I12" s="428"/>
      <c r="J12" s="428"/>
    </row>
    <row r="13" spans="2:11" ht="19.95" customHeight="1">
      <c r="B13" s="220" t="s">
        <v>270</v>
      </c>
      <c r="C13" s="225"/>
      <c r="D13" s="4">
        <f>G10/D10-1</f>
        <v>0.15019983269820636</v>
      </c>
      <c r="E13" s="236"/>
      <c r="F13" s="236"/>
      <c r="G13" s="236"/>
      <c r="H13" s="428" t="s">
        <v>271</v>
      </c>
      <c r="I13" s="428"/>
      <c r="J13" s="428"/>
    </row>
    <row r="14" spans="2:11" ht="18.75" customHeight="1">
      <c r="B14" s="236"/>
      <c r="C14" s="236"/>
      <c r="D14" s="236"/>
      <c r="E14" s="236"/>
      <c r="F14" s="236"/>
      <c r="G14" s="236"/>
      <c r="H14" s="236"/>
      <c r="I14" s="236"/>
    </row>
    <row r="15" spans="2:11" ht="6.75" customHeight="1" thickBot="1"/>
    <row r="16" spans="2:11" s="951" customFormat="1" ht="45" customHeight="1">
      <c r="B16" s="237" t="s">
        <v>4</v>
      </c>
      <c r="C16" s="238" t="s">
        <v>5</v>
      </c>
      <c r="D16" s="239" t="s">
        <v>6</v>
      </c>
      <c r="E16" s="239" t="s">
        <v>7</v>
      </c>
      <c r="F16" s="239" t="s">
        <v>8</v>
      </c>
      <c r="G16" s="239" t="s">
        <v>281</v>
      </c>
      <c r="H16" s="240" t="s">
        <v>30</v>
      </c>
      <c r="I16" s="429" t="s">
        <v>22</v>
      </c>
      <c r="J16" s="429"/>
      <c r="K16" s="430"/>
    </row>
    <row r="17" spans="2:11" s="252" customFormat="1" ht="17.25" customHeight="1">
      <c r="B17" s="208" t="s">
        <v>14</v>
      </c>
      <c r="C17" s="968" t="str">
        <f>IF(ISBLANK(B17),"",_xlfn.XLOOKUP(B17,tblIngredients[Article],tblIngredients[Fournisseur],""))</f>
        <v>Auto</v>
      </c>
      <c r="D17" s="969" t="str">
        <f>IF(ISBLANK(B17),"",_xlfn.XLOOKUP(B17,tblIngredients[Article],tblIngredients[Unité conditionnement],""))</f>
        <v>1 kg</v>
      </c>
      <c r="E17" s="970">
        <f>IF(ISBLANK(B17),"",_xlfn.XLOOKUP(B17,tblIngredients[Article],tblIngredients[Coût d''achat HTVA  à l''unité],""))</f>
        <v>3.5</v>
      </c>
      <c r="F17" s="241">
        <v>50</v>
      </c>
      <c r="G17" s="971">
        <f>IF(OR(F17="",ISBLANK(F17)),"",E17*F17)</f>
        <v>175</v>
      </c>
      <c r="H17" s="5">
        <f>IF(OR(G17="",ISBLANK(G17)),"",G17/G$33)</f>
        <v>0.92115565556674106</v>
      </c>
      <c r="I17" s="242" t="s">
        <v>272</v>
      </c>
      <c r="J17" s="243"/>
      <c r="K17" s="244"/>
    </row>
    <row r="18" spans="2:11" s="252" customFormat="1" ht="17.25" customHeight="1">
      <c r="B18" s="208" t="s">
        <v>15</v>
      </c>
      <c r="C18" s="968" t="str">
        <f>IF(ISBLANK(B18),"",_xlfn.XLOOKUP(B18,tblIngredients[Article],tblIngredients[Fournisseur],""))</f>
        <v>Inbterbio</v>
      </c>
      <c r="D18" s="969" t="str">
        <f>IF(ISBLANK(B18),"",_xlfn.XLOOKUP(B18,tblIngredients[Article],tblIngredients[Unité conditionnement],""))</f>
        <v>1 kg</v>
      </c>
      <c r="E18" s="970">
        <f>IF(ISBLANK(B18),"",_xlfn.XLOOKUP(B18,tblIngredients[Article],tblIngredients[Coût d''achat HTVA  à l''unité],""))</f>
        <v>6</v>
      </c>
      <c r="F18" s="241">
        <v>0.5</v>
      </c>
      <c r="G18" s="971">
        <f t="shared" ref="G18:G32" si="0">IF(OR(F18="",ISBLANK(F18)),"",E18*F18)</f>
        <v>3</v>
      </c>
      <c r="H18" s="5">
        <f t="shared" ref="H18:H32" si="1">IF(OR(G18="",ISBLANK(G18)),"",G18/G$33)</f>
        <v>1.5791239809715561E-2</v>
      </c>
      <c r="I18" s="245"/>
      <c r="J18" s="243"/>
      <c r="K18" s="244"/>
    </row>
    <row r="19" spans="2:11" s="252" customFormat="1" ht="17.25" customHeight="1">
      <c r="B19" s="208" t="s">
        <v>16</v>
      </c>
      <c r="C19" s="968" t="str">
        <f>IF(ISBLANK(B19),"",_xlfn.XLOOKUP(B19,tblIngredients[Article],tblIngredients[Fournisseur],""))</f>
        <v>Interbio</v>
      </c>
      <c r="D19" s="969" t="str">
        <f>IF(ISBLANK(B19),"",_xlfn.XLOOKUP(B19,tblIngredients[Article],tblIngredients[Unité conditionnement],""))</f>
        <v>1 Botte</v>
      </c>
      <c r="E19" s="970">
        <f>IF(ISBLANK(B19),"",_xlfn.XLOOKUP(B19,tblIngredients[Article],tblIngredients[Coût d''achat HTVA  à l''unité],""))</f>
        <v>1.89</v>
      </c>
      <c r="F19" s="241">
        <v>4</v>
      </c>
      <c r="G19" s="971">
        <f t="shared" si="0"/>
        <v>7.56</v>
      </c>
      <c r="H19" s="5">
        <f t="shared" si="1"/>
        <v>3.9793924320483211E-2</v>
      </c>
      <c r="I19" s="245"/>
      <c r="J19" s="243"/>
      <c r="K19" s="244"/>
    </row>
    <row r="20" spans="2:11" s="252" customFormat="1" ht="17.25" customHeight="1">
      <c r="B20" s="208" t="s">
        <v>17</v>
      </c>
      <c r="C20" s="968" t="str">
        <f>IF(ISBLANK(B20),"",_xlfn.XLOOKUP(B20,tblIngredients[Article],tblIngredients[Fournisseur],""))</f>
        <v>Solucious</v>
      </c>
      <c r="D20" s="969" t="str">
        <f>IF(ISBLANK(B20),"",_xlfn.XLOOKUP(B20,tblIngredients[Article],tblIngredients[Unité conditionnement],""))</f>
        <v>1 L</v>
      </c>
      <c r="E20" s="970">
        <f>IF(ISBLANK(B20),"",_xlfn.XLOOKUP(B20,tblIngredients[Article],tblIngredients[Coût d''achat HTVA  à l''unité],""))</f>
        <v>17.649999999999999</v>
      </c>
      <c r="F20" s="241">
        <v>0.25</v>
      </c>
      <c r="G20" s="971">
        <f t="shared" si="0"/>
        <v>4.4124999999999996</v>
      </c>
      <c r="H20" s="5">
        <f t="shared" si="1"/>
        <v>2.3226281886789969E-2</v>
      </c>
      <c r="I20" s="245"/>
      <c r="J20" s="243"/>
      <c r="K20" s="244"/>
    </row>
    <row r="21" spans="2:11" s="252" customFormat="1" ht="17.25" customHeight="1">
      <c r="B21" s="208" t="s">
        <v>359</v>
      </c>
      <c r="C21" s="968" t="str">
        <f>IF(ISBLANK(B21),"",_xlfn.XLOOKUP(B21,tblIngredients[Article],tblIngredients[Fournisseur],""))</f>
        <v>Solucious</v>
      </c>
      <c r="D21" s="969" t="str">
        <f>IF(ISBLANK(B21),"",_xlfn.XLOOKUP(B21,tblIngredients[Article],tblIngredients[Unité conditionnement],""))</f>
        <v>1 Kg</v>
      </c>
      <c r="E21" s="970">
        <f>IF(ISBLANK(B21),"",_xlfn.XLOOKUP(B21,tblIngredients[Article],tblIngredients[Coût d''achat HTVA  à l''unité],""))</f>
        <v>6.25</v>
      </c>
      <c r="F21" s="241">
        <v>1E-3</v>
      </c>
      <c r="G21" s="971">
        <f t="shared" si="0"/>
        <v>6.2500000000000003E-3</v>
      </c>
      <c r="H21" s="5">
        <f t="shared" si="1"/>
        <v>3.2898416270240753E-5</v>
      </c>
      <c r="I21" s="245"/>
      <c r="J21" s="243"/>
      <c r="K21" s="244"/>
    </row>
    <row r="22" spans="2:11" s="252" customFormat="1" ht="17.25" customHeight="1">
      <c r="B22" s="208"/>
      <c r="C22" s="968" t="str">
        <f>IF(ISBLANK(B22),"",_xlfn.XLOOKUP(B22,tblIngredients[Article],tblIngredients[Fournisseur],""))</f>
        <v/>
      </c>
      <c r="D22" s="969" t="str">
        <f>IF(ISBLANK(B22),"",_xlfn.XLOOKUP(B22,tblIngredients[Article],tblIngredients[Unité conditionnement],""))</f>
        <v/>
      </c>
      <c r="E22" s="970" t="str">
        <f>IF(ISBLANK(B22),"",_xlfn.XLOOKUP(B22,tblIngredients[Article],tblIngredients[Coût d''achat HTVA  à l''unité],""))</f>
        <v/>
      </c>
      <c r="F22" s="241"/>
      <c r="G22" s="971" t="str">
        <f t="shared" si="0"/>
        <v/>
      </c>
      <c r="H22" s="5" t="str">
        <f t="shared" si="1"/>
        <v/>
      </c>
      <c r="I22" s="245"/>
      <c r="J22" s="243"/>
      <c r="K22" s="244"/>
    </row>
    <row r="23" spans="2:11" s="252" customFormat="1" ht="17.25" customHeight="1">
      <c r="B23" s="208"/>
      <c r="C23" s="968" t="str">
        <f>IF(ISBLANK(B23),"",_xlfn.XLOOKUP(B23,tblIngredients[Article],tblIngredients[Fournisseur],""))</f>
        <v/>
      </c>
      <c r="D23" s="969" t="str">
        <f>IF(ISBLANK(B23),"",_xlfn.XLOOKUP(B23,tblIngredients[Article],tblIngredients[Unité conditionnement],""))</f>
        <v/>
      </c>
      <c r="E23" s="970" t="str">
        <f>IF(ISBLANK(B23),"",_xlfn.XLOOKUP(B23,tblIngredients[Article],tblIngredients[Coût d''achat HTVA  à l''unité],""))</f>
        <v/>
      </c>
      <c r="F23" s="241"/>
      <c r="G23" s="971" t="str">
        <f t="shared" si="0"/>
        <v/>
      </c>
      <c r="H23" s="5" t="str">
        <f t="shared" si="1"/>
        <v/>
      </c>
      <c r="I23" s="245"/>
      <c r="J23" s="243"/>
      <c r="K23" s="244"/>
    </row>
    <row r="24" spans="2:11" s="252" customFormat="1" ht="17.25" customHeight="1">
      <c r="B24" s="208"/>
      <c r="C24" s="968" t="str">
        <f>IF(ISBLANK(B24),"",_xlfn.XLOOKUP(B24,tblIngredients[Article],tblIngredients[Fournisseur],""))</f>
        <v/>
      </c>
      <c r="D24" s="969" t="str">
        <f>IF(ISBLANK(B24),"",_xlfn.XLOOKUP(B24,tblIngredients[Article],tblIngredients[Unité conditionnement],""))</f>
        <v/>
      </c>
      <c r="E24" s="970" t="str">
        <f>IF(ISBLANK(B24),"",_xlfn.XLOOKUP(B24,tblIngredients[Article],tblIngredients[Coût d''achat HTVA  à l''unité],""))</f>
        <v/>
      </c>
      <c r="F24" s="241"/>
      <c r="G24" s="971" t="str">
        <f t="shared" si="0"/>
        <v/>
      </c>
      <c r="H24" s="5" t="str">
        <f t="shared" si="1"/>
        <v/>
      </c>
      <c r="I24" s="245"/>
      <c r="J24" s="243"/>
      <c r="K24" s="244"/>
    </row>
    <row r="25" spans="2:11" s="252" customFormat="1" ht="17.25" customHeight="1">
      <c r="B25" s="208"/>
      <c r="C25" s="968" t="str">
        <f>IF(ISBLANK(B25),"",_xlfn.XLOOKUP(B25,tblIngredients[Article],tblIngredients[Fournisseur],""))</f>
        <v/>
      </c>
      <c r="D25" s="969" t="str">
        <f>IF(ISBLANK(B25),"",_xlfn.XLOOKUP(B25,tblIngredients[Article],tblIngredients[Unité conditionnement],""))</f>
        <v/>
      </c>
      <c r="E25" s="970" t="str">
        <f>IF(ISBLANK(B25),"",_xlfn.XLOOKUP(B25,tblIngredients[Article],tblIngredients[Coût d''achat HTVA  à l''unité],""))</f>
        <v/>
      </c>
      <c r="F25" s="241"/>
      <c r="G25" s="971" t="str">
        <f t="shared" si="0"/>
        <v/>
      </c>
      <c r="H25" s="5" t="str">
        <f t="shared" si="1"/>
        <v/>
      </c>
      <c r="I25" s="245"/>
      <c r="J25" s="243"/>
      <c r="K25" s="244"/>
    </row>
    <row r="26" spans="2:11" s="252" customFormat="1" ht="17.25" customHeight="1">
      <c r="B26" s="208"/>
      <c r="C26" s="968" t="str">
        <f>IF(ISBLANK(B26),"",_xlfn.XLOOKUP(B26,tblIngredients[Article],tblIngredients[Fournisseur],""))</f>
        <v/>
      </c>
      <c r="D26" s="969" t="str">
        <f>IF(ISBLANK(B26),"",_xlfn.XLOOKUP(B26,tblIngredients[Article],tblIngredients[Unité conditionnement],""))</f>
        <v/>
      </c>
      <c r="E26" s="970" t="str">
        <f>IF(ISBLANK(B26),"",_xlfn.XLOOKUP(B26,tblIngredients[Article],tblIngredients[Coût d''achat HTVA  à l''unité],""))</f>
        <v/>
      </c>
      <c r="F26" s="241"/>
      <c r="G26" s="971" t="str">
        <f t="shared" si="0"/>
        <v/>
      </c>
      <c r="H26" s="5" t="str">
        <f t="shared" si="1"/>
        <v/>
      </c>
      <c r="I26" s="245"/>
      <c r="J26" s="243"/>
      <c r="K26" s="244"/>
    </row>
    <row r="27" spans="2:11" s="252" customFormat="1" ht="17.25" customHeight="1">
      <c r="B27" s="208"/>
      <c r="C27" s="968" t="str">
        <f>IF(ISBLANK(B27),"",_xlfn.XLOOKUP(B27,tblIngredients[Article],tblIngredients[Fournisseur],""))</f>
        <v/>
      </c>
      <c r="D27" s="969" t="str">
        <f>IF(ISBLANK(B27),"",_xlfn.XLOOKUP(B27,tblIngredients[Article],tblIngredients[Unité conditionnement],""))</f>
        <v/>
      </c>
      <c r="E27" s="970" t="str">
        <f>IF(ISBLANK(B27),"",_xlfn.XLOOKUP(B27,tblIngredients[Article],tblIngredients[Coût d''achat HTVA  à l''unité],""))</f>
        <v/>
      </c>
      <c r="F27" s="241"/>
      <c r="G27" s="971" t="str">
        <f t="shared" si="0"/>
        <v/>
      </c>
      <c r="H27" s="5" t="str">
        <f t="shared" si="1"/>
        <v/>
      </c>
      <c r="I27" s="245"/>
      <c r="J27" s="243"/>
      <c r="K27" s="244"/>
    </row>
    <row r="28" spans="2:11" s="252" customFormat="1" ht="17.25" customHeight="1">
      <c r="B28" s="208"/>
      <c r="C28" s="968"/>
      <c r="D28" s="969"/>
      <c r="E28" s="970"/>
      <c r="F28" s="241"/>
      <c r="G28" s="971"/>
      <c r="H28" s="5"/>
      <c r="I28" s="245"/>
      <c r="J28" s="243"/>
      <c r="K28" s="244"/>
    </row>
    <row r="29" spans="2:11" s="252" customFormat="1" ht="17.25" customHeight="1">
      <c r="B29" s="208"/>
      <c r="C29" s="968" t="str">
        <f>IF(ISBLANK(B29),"",_xlfn.XLOOKUP(B29,tblIngredients[Article],tblIngredients[Fournisseur],""))</f>
        <v/>
      </c>
      <c r="D29" s="969" t="str">
        <f>IF(ISBLANK(B29),"",_xlfn.XLOOKUP(B29,tblIngredients[Article],tblIngredients[Unité conditionnement],""))</f>
        <v/>
      </c>
      <c r="E29" s="970" t="str">
        <f>IF(ISBLANK(B29),"",_xlfn.XLOOKUP(B29,tblIngredients[Article],tblIngredients[Coût d''achat HTVA  à l''unité],""))</f>
        <v/>
      </c>
      <c r="F29" s="241"/>
      <c r="G29" s="971" t="str">
        <f t="shared" si="0"/>
        <v/>
      </c>
      <c r="H29" s="5" t="str">
        <f t="shared" si="1"/>
        <v/>
      </c>
      <c r="I29" s="245"/>
      <c r="J29" s="243"/>
      <c r="K29" s="244"/>
    </row>
    <row r="30" spans="2:11" s="252" customFormat="1" ht="17.25" customHeight="1">
      <c r="B30" s="208"/>
      <c r="C30" s="968" t="str">
        <f>IF(ISBLANK(B30),"",_xlfn.XLOOKUP(B30,tblIngredients[Article],tblIngredients[Fournisseur],""))</f>
        <v/>
      </c>
      <c r="D30" s="969" t="str">
        <f>IF(ISBLANK(B30),"",_xlfn.XLOOKUP(B30,tblIngredients[Article],tblIngredients[Unité conditionnement],""))</f>
        <v/>
      </c>
      <c r="E30" s="970" t="str">
        <f>IF(ISBLANK(B30),"",_xlfn.XLOOKUP(B30,tblIngredients[Article],tblIngredients[Coût d''achat HTVA  à l''unité],""))</f>
        <v/>
      </c>
      <c r="F30" s="241"/>
      <c r="G30" s="971" t="str">
        <f t="shared" si="0"/>
        <v/>
      </c>
      <c r="H30" s="5" t="str">
        <f t="shared" si="1"/>
        <v/>
      </c>
      <c r="I30" s="245"/>
      <c r="J30" s="243"/>
      <c r="K30" s="244"/>
    </row>
    <row r="31" spans="2:11" s="252" customFormat="1" ht="17.25" customHeight="1">
      <c r="B31" s="208"/>
      <c r="C31" s="968" t="str">
        <f>IF(ISBLANK(B31),"",_xlfn.XLOOKUP(B31,tblIngredients[Article],tblIngredients[Fournisseur],""))</f>
        <v/>
      </c>
      <c r="D31" s="969" t="str">
        <f>IF(ISBLANK(B31),"",_xlfn.XLOOKUP(B31,tblIngredients[Article],tblIngredients[Unité conditionnement],""))</f>
        <v/>
      </c>
      <c r="E31" s="970" t="str">
        <f>IF(ISBLANK(B31),"",_xlfn.XLOOKUP(B31,tblIngredients[Article],tblIngredients[Coût d''achat HTVA  à l''unité],""))</f>
        <v/>
      </c>
      <c r="F31" s="241"/>
      <c r="G31" s="971" t="str">
        <f t="shared" si="0"/>
        <v/>
      </c>
      <c r="H31" s="5" t="str">
        <f t="shared" si="1"/>
        <v/>
      </c>
      <c r="I31" s="245"/>
      <c r="J31" s="243"/>
      <c r="K31" s="244"/>
    </row>
    <row r="32" spans="2:11" s="252" customFormat="1" ht="17.25" customHeight="1">
      <c r="B32" s="208"/>
      <c r="C32" s="968" t="str">
        <f>IF(ISBLANK(B32),"",_xlfn.XLOOKUP(B32,tblIngredients[Article],tblIngredients[Fournisseur],""))</f>
        <v/>
      </c>
      <c r="D32" s="969" t="str">
        <f>IF(ISBLANK(B32),"",_xlfn.XLOOKUP(B32,tblIngredients[Article],tblIngredients[Unité conditionnement],""))</f>
        <v/>
      </c>
      <c r="E32" s="970" t="str">
        <f>IF(ISBLANK(B32),"",_xlfn.XLOOKUP(B32,tblIngredients[Article],tblIngredients[Coût d''achat HTVA  à l''unité],""))</f>
        <v/>
      </c>
      <c r="F32" s="241"/>
      <c r="G32" s="971" t="str">
        <f t="shared" si="0"/>
        <v/>
      </c>
      <c r="H32" s="5" t="str">
        <f t="shared" si="1"/>
        <v/>
      </c>
      <c r="I32" s="245"/>
      <c r="J32" s="243"/>
      <c r="K32" s="244"/>
    </row>
    <row r="33" spans="2:11" s="252" customFormat="1" ht="17.25" customHeight="1">
      <c r="B33" s="952" t="s">
        <v>29</v>
      </c>
      <c r="C33" s="952"/>
      <c r="D33" s="952"/>
      <c r="E33" s="952"/>
      <c r="F33" s="952"/>
      <c r="G33" s="953">
        <f>SUM(G17:G32)</f>
        <v>189.97874999999999</v>
      </c>
      <c r="H33" s="954">
        <f>IF(G33="","",G33/G$45)</f>
        <v>0.72032302138783477</v>
      </c>
      <c r="I33" s="955"/>
      <c r="J33" s="956"/>
      <c r="K33" s="957"/>
    </row>
    <row r="34" spans="2:11" s="252" customFormat="1" ht="17.25" customHeight="1">
      <c r="B34" s="208" t="s">
        <v>19</v>
      </c>
      <c r="C34" s="968" t="str">
        <f>IF(ISBLANK(B34),"",_xlfn.XLOOKUP(B34,tblConsommables[Article],tblConsommables[Fournisseur],""))</f>
        <v>Grossiste</v>
      </c>
      <c r="D34" s="969" t="str">
        <f>IF(ISBLANK(B34),"",_xlfn.XLOOKUP(B34,tblConsommables[Article],tblConsommables[Unité conditionnement],""))</f>
        <v>Unité</v>
      </c>
      <c r="E34" s="970">
        <f>IF(ISBLANK(B34),"",_xlfn.XLOOKUP(B34,tblConsommables[Article],tblConsommables[Coût d''achat HTVA  à l''unité],""))</f>
        <v>0.154</v>
      </c>
      <c r="F34" s="246">
        <v>230</v>
      </c>
      <c r="G34" s="972">
        <f>IF(OR(F34="",ISBLANK(F34)),"",E34*F34)</f>
        <v>35.42</v>
      </c>
      <c r="H34" s="6">
        <f>IF(OR(G34="",ISBLANK(G34)),"",G34/G$43)</f>
        <v>0.48988285410010646</v>
      </c>
      <c r="I34" s="245"/>
      <c r="J34" s="243"/>
      <c r="K34" s="247"/>
    </row>
    <row r="35" spans="2:11" s="252" customFormat="1" ht="17.25" customHeight="1">
      <c r="B35" s="208" t="s">
        <v>38</v>
      </c>
      <c r="C35" s="968" t="str">
        <f>IF(ISBLANK(B35),"",_xlfn.XLOOKUP(B35,tblConsommables[Article],tblConsommables[Fournisseur],""))</f>
        <v>Grossiste</v>
      </c>
      <c r="D35" s="969" t="str">
        <f>IF(ISBLANK(B35),"",_xlfn.XLOOKUP(B35,tblConsommables[Article],tblConsommables[Unité conditionnement],""))</f>
        <v>Unité</v>
      </c>
      <c r="E35" s="970">
        <f>IF(ISBLANK(B35),"",_xlfn.XLOOKUP(B35,tblConsommables[Article],tblConsommables[Coût d''achat HTVA  à l''unité],""))</f>
        <v>0.12</v>
      </c>
      <c r="F35" s="246">
        <v>250</v>
      </c>
      <c r="G35" s="972">
        <f t="shared" ref="G35:G42" si="2">IF(OR(F35="",ISBLANK(F35)),"",E35*F35)</f>
        <v>30</v>
      </c>
      <c r="H35" s="6">
        <f t="shared" ref="H35:H42" si="3">IF(OR(G35="",ISBLANK(G35)),"",G35/G$43)</f>
        <v>0.41492054271606982</v>
      </c>
      <c r="I35" s="245"/>
      <c r="J35" s="243"/>
      <c r="K35" s="247"/>
    </row>
    <row r="36" spans="2:11" s="252" customFormat="1" ht="17.25" customHeight="1">
      <c r="B36" s="208" t="s">
        <v>27</v>
      </c>
      <c r="C36" s="968" t="str">
        <f>IF(ISBLANK(B36),"",_xlfn.XLOOKUP(B36,tblConsommables[Article],tblConsommables[Fournisseur],""))</f>
        <v>Grossiste</v>
      </c>
      <c r="D36" s="969" t="str">
        <f>IF(ISBLANK(B36),"",_xlfn.XLOOKUP(B36,tblConsommables[Article],tblConsommables[Unité conditionnement],""))</f>
        <v>Rack de 1000</v>
      </c>
      <c r="E36" s="970">
        <f>IF(ISBLANK(B36),"",_xlfn.XLOOKUP(B36,tblConsommables[Article],tblConsommables[Coût d''achat HTVA  à l''unité],""))</f>
        <v>27.3</v>
      </c>
      <c r="F36" s="246">
        <v>0.25</v>
      </c>
      <c r="G36" s="972">
        <f t="shared" si="2"/>
        <v>6.8250000000000002</v>
      </c>
      <c r="H36" s="6">
        <f t="shared" si="3"/>
        <v>9.4394423467905886E-2</v>
      </c>
      <c r="I36" s="245"/>
      <c r="J36" s="243"/>
      <c r="K36" s="247"/>
    </row>
    <row r="37" spans="2:11" s="252" customFormat="1" ht="17.25" customHeight="1">
      <c r="B37" s="208" t="s">
        <v>370</v>
      </c>
      <c r="C37" s="968" t="str">
        <f>IF(ISBLANK(B37),"",_xlfn.XLOOKUP(B37,tblConsommables[Article],tblConsommables[Fournisseur],""))</f>
        <v>Grossiste</v>
      </c>
      <c r="D37" s="969" t="str">
        <f>IF(ISBLANK(B37),"",_xlfn.XLOOKUP(B37,tblConsommables[Article],tblConsommables[Unité conditionnement],""))</f>
        <v>Rack de 1000</v>
      </c>
      <c r="E37" s="970">
        <f>IF(ISBLANK(B37),"",_xlfn.XLOOKUP(B37,tblConsommables[Article],tblConsommables[Coût d''achat HTVA  à l''unité],""))</f>
        <v>58</v>
      </c>
      <c r="F37" s="246">
        <v>1E-3</v>
      </c>
      <c r="G37" s="972">
        <f t="shared" si="2"/>
        <v>5.8000000000000003E-2</v>
      </c>
      <c r="H37" s="6">
        <f t="shared" si="3"/>
        <v>8.0217971591773501E-4</v>
      </c>
      <c r="I37" s="245"/>
      <c r="J37" s="243"/>
      <c r="K37" s="247"/>
    </row>
    <row r="38" spans="2:11" s="252" customFormat="1" ht="17.25" customHeight="1">
      <c r="B38" s="208"/>
      <c r="C38" s="968" t="str">
        <f>IF(ISBLANK(B38),"",_xlfn.XLOOKUP(B38,tblConsommables[Article],tblConsommables[Fournisseur],""))</f>
        <v/>
      </c>
      <c r="D38" s="969" t="str">
        <f>IF(ISBLANK(B38),"",_xlfn.XLOOKUP(B38,tblConsommables[Article],tblConsommables[Unité conditionnement],""))</f>
        <v/>
      </c>
      <c r="E38" s="970" t="str">
        <f>IF(ISBLANK(B38),"",_xlfn.XLOOKUP(B38,tblConsommables[Article],tblConsommables[Coût d''achat HTVA  à l''unité],""))</f>
        <v/>
      </c>
      <c r="F38" s="246"/>
      <c r="G38" s="972" t="str">
        <f t="shared" si="2"/>
        <v/>
      </c>
      <c r="H38" s="6" t="str">
        <f t="shared" si="3"/>
        <v/>
      </c>
      <c r="I38" s="245"/>
      <c r="J38" s="243"/>
      <c r="K38" s="247"/>
    </row>
    <row r="39" spans="2:11" s="252" customFormat="1" ht="17.25" customHeight="1">
      <c r="B39" s="208"/>
      <c r="C39" s="968" t="str">
        <f>IF(ISBLANK(B39),"",_xlfn.XLOOKUP(B39,tblConsommables[Article],tblConsommables[Fournisseur],""))</f>
        <v/>
      </c>
      <c r="D39" s="969" t="str">
        <f>IF(ISBLANK(B39),"",_xlfn.XLOOKUP(B39,tblConsommables[Article],tblConsommables[Unité conditionnement],""))</f>
        <v/>
      </c>
      <c r="E39" s="970" t="str">
        <f>IF(ISBLANK(B39),"",_xlfn.XLOOKUP(B39,tblConsommables[Article],tblConsommables[Coût d''achat HTVA  à l''unité],""))</f>
        <v/>
      </c>
      <c r="F39" s="246"/>
      <c r="G39" s="972" t="str">
        <f t="shared" si="2"/>
        <v/>
      </c>
      <c r="H39" s="6" t="str">
        <f t="shared" si="3"/>
        <v/>
      </c>
      <c r="I39" s="245"/>
      <c r="J39" s="243"/>
      <c r="K39" s="247"/>
    </row>
    <row r="40" spans="2:11" s="252" customFormat="1" ht="17.25" customHeight="1">
      <c r="B40" s="208"/>
      <c r="C40" s="968" t="str">
        <f>IF(ISBLANK(B40),"",_xlfn.XLOOKUP(B40,tblConsommables[Article],tblConsommables[Fournisseur],""))</f>
        <v/>
      </c>
      <c r="D40" s="969" t="str">
        <f>IF(ISBLANK(B40),"",_xlfn.XLOOKUP(B40,tblConsommables[Article],tblConsommables[Unité conditionnement],""))</f>
        <v/>
      </c>
      <c r="E40" s="970" t="str">
        <f>IF(ISBLANK(B40),"",_xlfn.XLOOKUP(B40,tblConsommables[Article],tblConsommables[Coût d''achat HTVA  à l''unité],""))</f>
        <v/>
      </c>
      <c r="F40" s="246"/>
      <c r="G40" s="972" t="str">
        <f t="shared" si="2"/>
        <v/>
      </c>
      <c r="H40" s="6" t="str">
        <f t="shared" si="3"/>
        <v/>
      </c>
      <c r="I40" s="245"/>
      <c r="J40" s="243"/>
      <c r="K40" s="247"/>
    </row>
    <row r="41" spans="2:11" s="252" customFormat="1" ht="17.25" customHeight="1">
      <c r="B41" s="208"/>
      <c r="C41" s="968" t="str">
        <f>IF(ISBLANK(B41),"",_xlfn.XLOOKUP(B41,tblConsommables[Article],tblConsommables[Fournisseur],""))</f>
        <v/>
      </c>
      <c r="D41" s="969" t="str">
        <f>IF(ISBLANK(B41),"",_xlfn.XLOOKUP(B41,tblConsommables[Article],tblConsommables[Unité conditionnement],""))</f>
        <v/>
      </c>
      <c r="E41" s="970" t="str">
        <f>IF(ISBLANK(B41),"",_xlfn.XLOOKUP(B41,tblConsommables[Article],tblConsommables[Coût d''achat HTVA  à l''unité],""))</f>
        <v/>
      </c>
      <c r="F41" s="246"/>
      <c r="G41" s="972" t="str">
        <f t="shared" si="2"/>
        <v/>
      </c>
      <c r="H41" s="6" t="str">
        <f t="shared" si="3"/>
        <v/>
      </c>
      <c r="I41" s="245"/>
      <c r="J41" s="243"/>
      <c r="K41" s="247"/>
    </row>
    <row r="42" spans="2:11" s="252" customFormat="1" ht="17.25" customHeight="1" thickBot="1">
      <c r="B42" s="208"/>
      <c r="C42" s="968" t="str">
        <f>IF(ISBLANK(B42),"",_xlfn.XLOOKUP(B42,tblConsommables[Article],tblConsommables[Fournisseur],""))</f>
        <v/>
      </c>
      <c r="D42" s="969" t="str">
        <f>IF(ISBLANK(B42),"",_xlfn.XLOOKUP(B42,tblConsommables[Article],tblConsommables[Unité conditionnement],""))</f>
        <v/>
      </c>
      <c r="E42" s="970" t="str">
        <f>IF(ISBLANK(B42),"",_xlfn.XLOOKUP(B42,tblConsommables[Article],tblConsommables[Coût d''achat HTVA  à l''unité],""))</f>
        <v/>
      </c>
      <c r="F42" s="248"/>
      <c r="G42" s="972" t="str">
        <f t="shared" si="2"/>
        <v/>
      </c>
      <c r="H42" s="6" t="str">
        <f t="shared" si="3"/>
        <v/>
      </c>
      <c r="I42" s="245"/>
      <c r="J42" s="243"/>
      <c r="K42" s="247"/>
    </row>
    <row r="43" spans="2:11" s="252" customFormat="1" ht="17.25" customHeight="1" thickBot="1">
      <c r="B43" s="958" t="s">
        <v>31</v>
      </c>
      <c r="C43" s="959"/>
      <c r="D43" s="959"/>
      <c r="E43" s="959"/>
      <c r="F43" s="959"/>
      <c r="G43" s="960">
        <f>SUM(G34:G42)</f>
        <v>72.303000000000011</v>
      </c>
      <c r="H43" s="961">
        <f>IF(G43="","",G43/G$45)</f>
        <v>0.27414389985935073</v>
      </c>
      <c r="I43" s="962"/>
      <c r="J43" s="962"/>
      <c r="K43" s="962"/>
    </row>
    <row r="44" spans="2:11" s="252" customFormat="1" ht="17.25" customHeight="1">
      <c r="B44" s="958" t="s">
        <v>180</v>
      </c>
      <c r="C44" s="959"/>
      <c r="D44" s="959"/>
      <c r="E44" s="959"/>
      <c r="F44" s="959"/>
      <c r="G44" s="963">
        <f>J73</f>
        <v>1.4593</v>
      </c>
      <c r="H44" s="961">
        <f>IF(G44="","",G44/G$45)</f>
        <v>5.5330787528145515E-3</v>
      </c>
      <c r="I44" s="964"/>
      <c r="J44" s="962"/>
      <c r="K44" s="962"/>
    </row>
    <row r="45" spans="2:11" s="252" customFormat="1" ht="17.25" customHeight="1">
      <c r="B45" s="249" t="s">
        <v>273</v>
      </c>
      <c r="C45" s="250"/>
      <c r="D45" s="250"/>
      <c r="E45" s="250"/>
      <c r="F45" s="251"/>
      <c r="G45" s="973">
        <f>SUM(G33,G43,G44)</f>
        <v>263.74104999999997</v>
      </c>
      <c r="H45" s="7">
        <f>IF(G45="","",G45/G$45)</f>
        <v>1</v>
      </c>
    </row>
    <row r="46" spans="2:11" s="252" customFormat="1" ht="17.25" customHeight="1">
      <c r="B46" s="220" t="s">
        <v>274</v>
      </c>
      <c r="C46" s="253"/>
      <c r="D46" s="253"/>
      <c r="E46" s="253"/>
      <c r="F46" s="254"/>
      <c r="G46" s="973">
        <f>G45/D8</f>
        <v>1.1721824444444444</v>
      </c>
      <c r="H46" s="255"/>
    </row>
    <row r="47" spans="2:11" s="252" customFormat="1" ht="17.25" customHeight="1">
      <c r="H47" s="256"/>
    </row>
    <row r="48" spans="2:11" s="252" customFormat="1" ht="17.25" customHeight="1">
      <c r="B48" s="431" t="s">
        <v>275</v>
      </c>
      <c r="C48" s="432"/>
      <c r="D48" s="432"/>
      <c r="E48" s="432"/>
      <c r="F48" s="432"/>
      <c r="G48" s="433"/>
      <c r="H48" s="257"/>
      <c r="I48" s="431" t="s">
        <v>26</v>
      </c>
      <c r="J48" s="432"/>
      <c r="K48" s="433"/>
    </row>
    <row r="49" spans="2:17" s="252" customFormat="1" ht="17.25" customHeight="1">
      <c r="B49" s="220" t="s">
        <v>276</v>
      </c>
      <c r="C49" s="258"/>
      <c r="D49" s="258"/>
      <c r="E49" s="259"/>
      <c r="F49" s="260"/>
      <c r="G49" s="974">
        <f>D10</f>
        <v>4.0599999999999996</v>
      </c>
      <c r="H49" s="261"/>
      <c r="I49" s="220" t="s">
        <v>9</v>
      </c>
      <c r="J49" s="254"/>
      <c r="K49" s="974">
        <f>G10</f>
        <v>4.6698113207547172</v>
      </c>
    </row>
    <row r="50" spans="2:17" s="252" customFormat="1" ht="17.25" customHeight="1">
      <c r="B50" s="220" t="s">
        <v>277</v>
      </c>
      <c r="C50" s="258"/>
      <c r="D50" s="258"/>
      <c r="E50" s="253"/>
      <c r="F50" s="262"/>
      <c r="G50" s="975">
        <f>G49-G46</f>
        <v>2.8878175555555554</v>
      </c>
      <c r="H50" s="263"/>
      <c r="I50" s="220" t="s">
        <v>10</v>
      </c>
      <c r="J50" s="254"/>
      <c r="K50" s="975">
        <f>K49-G46</f>
        <v>3.497628876310273</v>
      </c>
    </row>
    <row r="51" spans="2:17" s="252" customFormat="1" ht="17.25" customHeight="1">
      <c r="B51" s="220" t="s">
        <v>378</v>
      </c>
      <c r="C51" s="258"/>
      <c r="D51" s="258"/>
      <c r="E51" s="253"/>
      <c r="F51" s="260"/>
      <c r="G51" s="975">
        <f>G50*$D8</f>
        <v>649.75894999999991</v>
      </c>
      <c r="H51" s="263"/>
      <c r="I51" s="220" t="s">
        <v>378</v>
      </c>
      <c r="J51" s="254"/>
      <c r="K51" s="975">
        <f>K50*$D8</f>
        <v>786.96649716981142</v>
      </c>
    </row>
    <row r="52" spans="2:17" s="252" customFormat="1" ht="17.25" customHeight="1">
      <c r="B52" s="220" t="s">
        <v>379</v>
      </c>
      <c r="C52" s="258"/>
      <c r="D52" s="258"/>
      <c r="E52" s="253"/>
      <c r="F52" s="260"/>
      <c r="G52" s="975">
        <f>G51/($C73*(1/60))</f>
        <v>135.36644791666666</v>
      </c>
      <c r="H52" s="263"/>
      <c r="I52" s="220" t="s">
        <v>379</v>
      </c>
      <c r="J52" s="254"/>
      <c r="K52" s="975">
        <f>K51/($C73*(1/60))</f>
        <v>163.95135357704405</v>
      </c>
    </row>
    <row r="53" spans="2:17" s="252" customFormat="1" ht="17.25" customHeight="1">
      <c r="B53" s="220" t="s">
        <v>278</v>
      </c>
      <c r="C53" s="258"/>
      <c r="D53" s="258"/>
      <c r="E53" s="253"/>
      <c r="F53" s="260"/>
      <c r="G53" s="8">
        <f>G50/$G$46</f>
        <v>2.4636246424286243</v>
      </c>
      <c r="H53" s="264"/>
      <c r="I53" s="220" t="s">
        <v>11</v>
      </c>
      <c r="J53" s="254"/>
      <c r="K53" s="8">
        <f>K50/$G$46</f>
        <v>2.9838604842507888</v>
      </c>
    </row>
    <row r="54" spans="2:17" s="252" customFormat="1" ht="17.25" customHeight="1" thickBot="1">
      <c r="B54" s="220" t="s">
        <v>12</v>
      </c>
      <c r="C54" s="258"/>
      <c r="D54" s="258"/>
      <c r="E54" s="253"/>
      <c r="F54" s="260"/>
      <c r="G54" s="976">
        <f>G49/$G$46</f>
        <v>3.4636246424286243</v>
      </c>
      <c r="H54" s="261"/>
      <c r="I54" s="220" t="s">
        <v>12</v>
      </c>
      <c r="J54" s="254"/>
      <c r="K54" s="976">
        <f>K49/$G$46</f>
        <v>3.9838604842507883</v>
      </c>
    </row>
    <row r="55" spans="2:17" ht="13.8">
      <c r="B55" s="220" t="s">
        <v>13</v>
      </c>
      <c r="C55" s="258"/>
      <c r="D55" s="258"/>
      <c r="E55" s="265"/>
      <c r="F55" s="266"/>
      <c r="G55" s="9">
        <f>G46/G49</f>
        <v>0.28871488779419818</v>
      </c>
      <c r="I55" s="220" t="s">
        <v>13</v>
      </c>
      <c r="J55" s="254"/>
      <c r="K55" s="9">
        <f>G46/K49</f>
        <v>0.25101280628507294</v>
      </c>
      <c r="L55" s="252"/>
      <c r="M55" s="252"/>
      <c r="N55" s="252"/>
      <c r="O55" s="252"/>
      <c r="P55" s="252"/>
      <c r="Q55" s="252"/>
    </row>
    <row r="56" spans="2:17" ht="14.4" thickBot="1">
      <c r="B56" s="220" t="s">
        <v>371</v>
      </c>
      <c r="F56" s="267"/>
      <c r="G56" s="34">
        <f ca="1">'4. CHARGES FIXES'!J18/(1-G55)</f>
        <v>29865.873899911589</v>
      </c>
      <c r="I56" s="220" t="s">
        <v>373</v>
      </c>
      <c r="K56" s="34">
        <f ca="1">'4. CHARGES FIXES'!J18/(1-K55)</f>
        <v>28362.502918986254</v>
      </c>
      <c r="L56" s="252"/>
      <c r="M56" s="252"/>
      <c r="N56" s="252"/>
      <c r="O56" s="252"/>
      <c r="P56" s="252"/>
      <c r="Q56" s="252"/>
    </row>
    <row r="57" spans="2:17" ht="14.4" thickBot="1">
      <c r="B57" s="268" t="s">
        <v>372</v>
      </c>
      <c r="F57" s="267"/>
      <c r="G57" s="977">
        <f ca="1">G56/G49</f>
        <v>7356.1265763329047</v>
      </c>
      <c r="I57" s="220" t="s">
        <v>374</v>
      </c>
      <c r="K57" s="977">
        <f ca="1">K56/K49</f>
        <v>6073.5864836617029</v>
      </c>
      <c r="L57" s="252"/>
      <c r="M57" s="252"/>
      <c r="N57" s="252"/>
      <c r="O57" s="252"/>
      <c r="P57" s="252"/>
      <c r="Q57" s="252"/>
    </row>
    <row r="58" spans="2:17" ht="14.4" thickBot="1">
      <c r="F58" s="267"/>
      <c r="K58" s="252"/>
      <c r="L58" s="252"/>
      <c r="M58" s="252"/>
      <c r="N58" s="252"/>
      <c r="O58" s="252"/>
      <c r="P58" s="252"/>
      <c r="Q58" s="252"/>
    </row>
    <row r="59" spans="2:17" ht="13.8">
      <c r="B59" s="436" t="s">
        <v>279</v>
      </c>
      <c r="C59" s="437"/>
      <c r="D59" s="437"/>
      <c r="E59" s="437"/>
      <c r="F59" s="437"/>
      <c r="G59" s="437"/>
      <c r="H59" s="437"/>
      <c r="I59" s="437"/>
      <c r="J59" s="438"/>
      <c r="K59" s="252"/>
      <c r="L59" s="252"/>
      <c r="M59" s="252"/>
      <c r="N59" s="252"/>
      <c r="O59" s="252"/>
      <c r="P59" s="252"/>
      <c r="Q59" s="252"/>
    </row>
    <row r="60" spans="2:17" ht="13.8">
      <c r="B60" s="269" t="s">
        <v>41</v>
      </c>
      <c r="C60" s="269" t="s">
        <v>280</v>
      </c>
      <c r="D60" s="269" t="s">
        <v>168</v>
      </c>
      <c r="E60" s="269" t="s">
        <v>282</v>
      </c>
      <c r="F60" s="269" t="s">
        <v>169</v>
      </c>
      <c r="G60" s="269" t="s">
        <v>172</v>
      </c>
      <c r="H60" s="269" t="s">
        <v>170</v>
      </c>
      <c r="I60" s="269" t="s">
        <v>174</v>
      </c>
      <c r="J60" s="269" t="s">
        <v>179</v>
      </c>
    </row>
    <row r="61" spans="2:17" ht="13.8">
      <c r="B61" s="270" t="s">
        <v>46</v>
      </c>
      <c r="C61" s="271">
        <v>20</v>
      </c>
      <c r="D61" s="271">
        <v>0</v>
      </c>
      <c r="E61" s="978">
        <f>C61+D61</f>
        <v>20</v>
      </c>
      <c r="F61" s="271"/>
      <c r="G61" s="271"/>
      <c r="H61" s="978">
        <f t="shared" ref="H61:H62" si="4">G61*D61/60</f>
        <v>0</v>
      </c>
      <c r="I61" s="272"/>
      <c r="J61" s="979" cm="1">
        <f t="array" ref="J61">_xlfn.IFS(I61=Listes!$C$2,'1. DONNEES DE BASE'!$B$2*H61,'FT_PROD (4)'!I61=Listes!$C$3,'1. DONNEES DE BASE'!$B$3*'FT_PROD (4)'!H61,TRUE,0)</f>
        <v>0</v>
      </c>
    </row>
    <row r="62" spans="2:17" ht="13.8">
      <c r="B62" s="270" t="s">
        <v>45</v>
      </c>
      <c r="C62" s="271">
        <v>120</v>
      </c>
      <c r="D62" s="271">
        <v>0</v>
      </c>
      <c r="E62" s="978">
        <f t="shared" ref="E62:E72" si="5">C62+D62</f>
        <v>120</v>
      </c>
      <c r="F62" s="271"/>
      <c r="G62" s="271"/>
      <c r="H62" s="978">
        <f t="shared" si="4"/>
        <v>0</v>
      </c>
      <c r="I62" s="272"/>
      <c r="J62" s="979" cm="1">
        <f t="array" ref="J62">_xlfn.IFS(I62=Listes!$C$2,'1. DONNEES DE BASE'!$B$2*H62,'FT_PROD (4)'!I62=Listes!$C$3,'1. DONNEES DE BASE'!$B$3*'FT_PROD (4)'!H62,TRUE,0)</f>
        <v>0</v>
      </c>
    </row>
    <row r="63" spans="2:17" ht="13.8">
      <c r="B63" s="270" t="s">
        <v>42</v>
      </c>
      <c r="C63" s="271">
        <v>10</v>
      </c>
      <c r="D63" s="273">
        <v>120</v>
      </c>
      <c r="E63" s="978">
        <f t="shared" si="5"/>
        <v>130</v>
      </c>
      <c r="F63" s="271" t="s">
        <v>173</v>
      </c>
      <c r="G63" s="271">
        <v>3</v>
      </c>
      <c r="H63" s="978">
        <f>G63*D63/60</f>
        <v>6</v>
      </c>
      <c r="I63" s="272" t="s">
        <v>175</v>
      </c>
      <c r="J63" s="979" cm="1">
        <f t="array" ref="J63">_xlfn.IFS(I63=Listes!$C$2,'1. DONNEES DE BASE'!$B$2*H63,'FT_PROD (4)'!I63=Listes!$C$3,'1. DONNEES DE BASE'!$B$3*'FT_PROD (4)'!H63,TRUE,0)</f>
        <v>0.48180000000000001</v>
      </c>
    </row>
    <row r="64" spans="2:17" ht="13.8">
      <c r="B64" s="270" t="s">
        <v>43</v>
      </c>
      <c r="C64" s="271">
        <v>3</v>
      </c>
      <c r="D64" s="271">
        <v>0</v>
      </c>
      <c r="E64" s="978">
        <f t="shared" si="5"/>
        <v>3</v>
      </c>
      <c r="F64" s="271"/>
      <c r="G64" s="271"/>
      <c r="H64" s="978">
        <f t="shared" ref="H64:H72" si="6">G64*D64/60</f>
        <v>0</v>
      </c>
      <c r="I64" s="272"/>
      <c r="J64" s="979" cm="1">
        <f t="array" ref="J64">_xlfn.IFS(I64=Listes!$C$2,'1. DONNEES DE BASE'!$B$2*H64,'FT_PROD (4)'!I64=Listes!$C$3,'1. DONNEES DE BASE'!$B$3*'FT_PROD (4)'!H64,TRUE,0)</f>
        <v>0</v>
      </c>
    </row>
    <row r="65" spans="2:10" ht="13.8">
      <c r="B65" s="270" t="s">
        <v>44</v>
      </c>
      <c r="C65" s="271">
        <v>15</v>
      </c>
      <c r="D65" s="273">
        <v>120</v>
      </c>
      <c r="E65" s="978">
        <f t="shared" si="5"/>
        <v>135</v>
      </c>
      <c r="F65" s="271"/>
      <c r="G65" s="271">
        <v>2</v>
      </c>
      <c r="H65" s="978">
        <f t="shared" si="6"/>
        <v>4</v>
      </c>
      <c r="I65" s="272" t="s">
        <v>176</v>
      </c>
      <c r="J65" s="979" cm="1">
        <f t="array" ref="J65">_xlfn.IFS(I65=Listes!$C$2,'1. DONNEES DE BASE'!$B$2*H65,'FT_PROD (4)'!I65=Listes!$C$3,'1. DONNEES DE BASE'!$B$3*'FT_PROD (4)'!H65,TRUE,0)</f>
        <v>0.8</v>
      </c>
    </row>
    <row r="66" spans="2:10" ht="13.8">
      <c r="B66" s="270" t="s">
        <v>27</v>
      </c>
      <c r="C66" s="271">
        <v>120</v>
      </c>
      <c r="D66" s="271">
        <v>0</v>
      </c>
      <c r="E66" s="978">
        <f t="shared" si="5"/>
        <v>120</v>
      </c>
      <c r="F66" s="271"/>
      <c r="G66" s="271"/>
      <c r="H66" s="978">
        <f t="shared" si="6"/>
        <v>0</v>
      </c>
      <c r="I66" s="272"/>
      <c r="J66" s="979" cm="1">
        <f t="array" ref="J66">_xlfn.IFS(I66=Listes!$C$2,'1. DONNEES DE BASE'!$B$2*H66,'FT_PROD (4)'!I66=Listes!$C$3,'1. DONNEES DE BASE'!$B$3*'FT_PROD (4)'!H66,TRUE,0)</f>
        <v>0</v>
      </c>
    </row>
    <row r="67" spans="2:10" ht="13.8">
      <c r="B67" s="274" t="s">
        <v>167</v>
      </c>
      <c r="C67" s="271">
        <v>0</v>
      </c>
      <c r="D67" s="271">
        <v>0</v>
      </c>
      <c r="E67" s="978">
        <f t="shared" si="5"/>
        <v>0</v>
      </c>
      <c r="F67" s="271"/>
      <c r="G67" s="271"/>
      <c r="H67" s="978">
        <f t="shared" si="6"/>
        <v>0</v>
      </c>
      <c r="I67" s="272"/>
      <c r="J67" s="979" cm="1">
        <f t="array" ref="J67">_xlfn.IFS(I67=Listes!$C$2,'1. DONNEES DE BASE'!$B$2*H67,'FT_PROD (4)'!I67=Listes!$C$3,'1. DONNEES DE BASE'!$B$3*'FT_PROD (4)'!H67,TRUE,0)</f>
        <v>0</v>
      </c>
    </row>
    <row r="68" spans="2:10" ht="13.8">
      <c r="B68" s="274" t="s">
        <v>48</v>
      </c>
      <c r="C68" s="271">
        <v>0</v>
      </c>
      <c r="D68" s="271">
        <v>15</v>
      </c>
      <c r="E68" s="978">
        <f t="shared" si="5"/>
        <v>15</v>
      </c>
      <c r="F68" s="271" t="s">
        <v>171</v>
      </c>
      <c r="G68" s="271">
        <v>3.55</v>
      </c>
      <c r="H68" s="978">
        <f t="shared" si="6"/>
        <v>0.88749999999999996</v>
      </c>
      <c r="I68" s="272" t="s">
        <v>176</v>
      </c>
      <c r="J68" s="979" cm="1">
        <f t="array" ref="J68">_xlfn.IFS(I68=Listes!$C$2,'1. DONNEES DE BASE'!$B$2*H68,'FT_PROD (4)'!I68=Listes!$C$3,'1. DONNEES DE BASE'!$B$3*'FT_PROD (4)'!H68,TRUE,0)</f>
        <v>0.17749999999999999</v>
      </c>
    </row>
    <row r="69" spans="2:10" ht="13.8">
      <c r="B69" s="274" t="s">
        <v>283</v>
      </c>
      <c r="C69" s="271">
        <v>0</v>
      </c>
      <c r="D69" s="271">
        <v>0</v>
      </c>
      <c r="E69" s="978">
        <f t="shared" si="5"/>
        <v>0</v>
      </c>
      <c r="F69" s="271"/>
      <c r="G69" s="271"/>
      <c r="H69" s="978">
        <f t="shared" si="6"/>
        <v>0</v>
      </c>
      <c r="I69" s="272"/>
      <c r="J69" s="979" cm="1">
        <f t="array" ref="J69">_xlfn.IFS(I69=Listes!$C$2,'1. DONNEES DE BASE'!$B$2*H69,'FT_PROD (4)'!I69=Listes!$C$3,'1. DONNEES DE BASE'!$B$3*'FT_PROD (4)'!H69,TRUE,0)</f>
        <v>0</v>
      </c>
    </row>
    <row r="70" spans="2:10" ht="13.8">
      <c r="B70" s="274" t="s">
        <v>284</v>
      </c>
      <c r="C70" s="271">
        <v>0</v>
      </c>
      <c r="D70" s="271">
        <v>0</v>
      </c>
      <c r="E70" s="978">
        <f t="shared" si="5"/>
        <v>0</v>
      </c>
      <c r="F70" s="271"/>
      <c r="G70" s="271"/>
      <c r="H70" s="978">
        <f t="shared" si="6"/>
        <v>0</v>
      </c>
      <c r="I70" s="272"/>
      <c r="J70" s="979" cm="1">
        <f t="array" ref="J70">_xlfn.IFS(I70=Listes!$C$2,'1. DONNEES DE BASE'!$B$2*H70,'FT_PROD (4)'!I70=Listes!$C$3,'1. DONNEES DE BASE'!$B$3*'FT_PROD (4)'!H70,TRUE,0)</f>
        <v>0</v>
      </c>
    </row>
    <row r="71" spans="2:10" ht="13.8">
      <c r="B71" s="274" t="s">
        <v>285</v>
      </c>
      <c r="C71" s="271">
        <v>0</v>
      </c>
      <c r="D71" s="271">
        <v>0</v>
      </c>
      <c r="E71" s="978">
        <f t="shared" si="5"/>
        <v>0</v>
      </c>
      <c r="F71" s="271"/>
      <c r="G71" s="271"/>
      <c r="H71" s="978">
        <f t="shared" si="6"/>
        <v>0</v>
      </c>
      <c r="I71" s="272"/>
      <c r="J71" s="979" cm="1">
        <f t="array" ref="J71">_xlfn.IFS(I71=Listes!$C$2,'1. DONNEES DE BASE'!$B$2*H71,'FT_PROD (4)'!I71=Listes!$C$3,'1. DONNEES DE BASE'!$B$3*'FT_PROD (4)'!H71,TRUE,0)</f>
        <v>0</v>
      </c>
    </row>
    <row r="72" spans="2:10" ht="13.8">
      <c r="B72" s="274" t="s">
        <v>286</v>
      </c>
      <c r="C72" s="271">
        <v>0</v>
      </c>
      <c r="D72" s="271">
        <v>0</v>
      </c>
      <c r="E72" s="978">
        <f t="shared" si="5"/>
        <v>0</v>
      </c>
      <c r="F72" s="271"/>
      <c r="G72" s="271"/>
      <c r="H72" s="978">
        <f t="shared" si="6"/>
        <v>0</v>
      </c>
      <c r="I72" s="272"/>
      <c r="J72" s="979" cm="1">
        <f t="array" ref="J72">_xlfn.IFS(I72=Listes!$C$2,'1. DONNEES DE BASE'!$B$2*H72,'FT_PROD (4)'!I72=Listes!$C$3,'1. DONNEES DE BASE'!$B$3*'FT_PROD (4)'!H72,TRUE,0)</f>
        <v>0</v>
      </c>
    </row>
    <row r="73" spans="2:10" ht="14.4" thickBot="1">
      <c r="B73" s="980" t="s">
        <v>47</v>
      </c>
      <c r="C73" s="981">
        <f>SUM(C61:C72)</f>
        <v>288</v>
      </c>
      <c r="D73" s="981">
        <f>SUM(D61:D72)</f>
        <v>255</v>
      </c>
      <c r="E73" s="981">
        <f>SUM(E61:E72)</f>
        <v>543</v>
      </c>
      <c r="F73" s="981"/>
      <c r="G73" s="981"/>
      <c r="H73" s="981">
        <f>SUM(H61:H72)</f>
        <v>10.887499999999999</v>
      </c>
      <c r="I73" s="981"/>
      <c r="J73" s="10">
        <f>SUMIF(J61:J72,"&lt;&gt;#N/A")</f>
        <v>1.4593</v>
      </c>
    </row>
    <row r="76" spans="2:10">
      <c r="B76" s="275" t="s">
        <v>497</v>
      </c>
      <c r="C76" s="275"/>
    </row>
    <row r="77" spans="2:10">
      <c r="B77" s="276" t="s">
        <v>498</v>
      </c>
      <c r="C77" s="982">
        <f>SUMIFS(G17:G32,C17:C32,"Auto")</f>
        <v>175</v>
      </c>
    </row>
    <row r="78" spans="2:10">
      <c r="B78" s="276" t="s">
        <v>499</v>
      </c>
      <c r="C78" s="983">
        <f>C77/D8</f>
        <v>0.77777777777777779</v>
      </c>
    </row>
  </sheetData>
  <sheetProtection algorithmName="SHA-512" hashValue="fAfB6mjpuxlcZbI+IpO+NO7FGUkNDqCbABMBIHF0Do2farO3c+A4XzJOPcLVoEdlXzCGdg2w1fI+gt+Tdub3gQ==" saltValue="CqVupwwzwgp55p7u6FZJpQ==" spinCount="100000" sheet="1" objects="1" scenarios="1" formatCells="0" formatColumns="0" formatRows="0" insertRows="0" insertHyperlinks="0" sort="0" autoFilter="0" pivotTables="0"/>
  <protectedRanges>
    <protectedRange sqref="I61:I72" name="TYpe energie"/>
    <protectedRange sqref="C2:C3 D5:D6 D8 D10:D11 G11:G12" name="Données de base"/>
    <protectedRange sqref="I17:K32 I34:K42 B34:F42 B17:F32" name="Ingred et consommables"/>
    <protectedRange sqref="B61:D72 F61:G72" name="Energie et travail"/>
  </protectedRanges>
  <mergeCells count="17">
    <mergeCell ref="B33:F33"/>
    <mergeCell ref="H4:J4"/>
    <mergeCell ref="H5:J5"/>
    <mergeCell ref="H6:J6"/>
    <mergeCell ref="H7:J7"/>
    <mergeCell ref="H8:J8"/>
    <mergeCell ref="H9:J9"/>
    <mergeCell ref="H10:J10"/>
    <mergeCell ref="H11:J11"/>
    <mergeCell ref="H12:J12"/>
    <mergeCell ref="H13:J13"/>
    <mergeCell ref="I16:K16"/>
    <mergeCell ref="B43:F43"/>
    <mergeCell ref="B44:F44"/>
    <mergeCell ref="B48:G48"/>
    <mergeCell ref="I48:K48"/>
    <mergeCell ref="B59:J59"/>
  </mergeCells>
  <dataValidations count="2">
    <dataValidation type="list" allowBlank="1" showInputMessage="1" showErrorMessage="1" errorTitle="Consommable invalide" error="Veuillez sélectionner un consommable dans la liste." sqref="B34:B42" xr:uid="{08A12AC9-308F-4759-B9CC-F472FF7F0A2B}">
      <formula1>ListeConsommables</formula1>
    </dataValidation>
    <dataValidation type="list" allowBlank="1" showInputMessage="1" showErrorMessage="1" errorTitle="Ingrédient invalide" error="Veuillez sélectionner un ingrédient dans la liste." sqref="B17:B32" xr:uid="{BF3D45E0-FBC6-470D-94F4-849848EAE5E0}">
      <formula1>ListeIngredients</formula1>
    </dataValidation>
  </dataValidations>
  <pageMargins left="0.39370078740157483" right="0.39370078740157483" top="0.39370078740157483" bottom="0.39370078740157483" header="0.51181102362204722" footer="0.51181102362204722"/>
  <pageSetup paperSize="9" scale="65"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1DFD3093-138C-4AC1-AC73-6ECB413DCD9B}">
          <x14:formula1>
            <xm:f>Listes!$C$2:$C$5</xm:f>
          </x14:formula1>
          <xm:sqref>I61:I63 I65:I72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8AADA-A1C8-46B8-9194-A17B1A1E9CE5}">
  <sheetPr>
    <pageSetUpPr fitToPage="1"/>
  </sheetPr>
  <dimension ref="B1:Q78"/>
  <sheetViews>
    <sheetView showGridLines="0" zoomScale="85" zoomScaleNormal="85" workbookViewId="0">
      <selection activeCell="C4" sqref="C4"/>
    </sheetView>
  </sheetViews>
  <sheetFormatPr baseColWidth="10" defaultColWidth="11.44140625" defaultRowHeight="13.2"/>
  <cols>
    <col min="1" max="1" width="1.44140625" style="219" customWidth="1"/>
    <col min="2" max="2" width="23.109375" style="219" customWidth="1"/>
    <col min="3" max="3" width="20" style="219" customWidth="1"/>
    <col min="4" max="4" width="19" style="219" customWidth="1"/>
    <col min="5" max="5" width="13.6640625" style="219" bestFit="1" customWidth="1"/>
    <col min="6" max="6" width="23.21875" style="219" customWidth="1"/>
    <col min="7" max="7" width="14.5546875" style="219" customWidth="1"/>
    <col min="8" max="8" width="14.109375" style="219" customWidth="1"/>
    <col min="9" max="9" width="17.33203125" style="219" customWidth="1"/>
    <col min="10" max="10" width="16.6640625" style="219" customWidth="1"/>
    <col min="11" max="11" width="12.109375" style="219" customWidth="1"/>
    <col min="12" max="16384" width="11.44140625" style="219"/>
  </cols>
  <sheetData>
    <row r="1" spans="2:11" ht="47.25" customHeight="1">
      <c r="B1" s="216" t="s">
        <v>37</v>
      </c>
      <c r="C1" s="217"/>
      <c r="D1" s="217"/>
      <c r="E1" s="217"/>
      <c r="F1" s="217"/>
      <c r="G1" s="217"/>
      <c r="H1" s="217"/>
      <c r="I1" s="217"/>
      <c r="J1" s="218"/>
    </row>
    <row r="2" spans="2:11" ht="16.2" customHeight="1">
      <c r="B2" s="220" t="s">
        <v>39</v>
      </c>
      <c r="C2" s="221" t="s">
        <v>291</v>
      </c>
      <c r="D2" s="222"/>
      <c r="E2" s="223"/>
      <c r="F2" s="217"/>
      <c r="G2" s="217"/>
      <c r="H2" s="217"/>
      <c r="I2" s="217"/>
    </row>
    <row r="3" spans="2:11" ht="18.75" customHeight="1">
      <c r="B3" s="220" t="s">
        <v>23</v>
      </c>
      <c r="C3" s="221" t="s">
        <v>520</v>
      </c>
      <c r="D3" s="222"/>
      <c r="E3" s="223"/>
      <c r="F3" s="217"/>
      <c r="G3" s="217"/>
      <c r="H3" s="217"/>
      <c r="I3" s="217"/>
    </row>
    <row r="4" spans="2:11" ht="18.75" customHeight="1">
      <c r="B4" s="224"/>
      <c r="C4" s="217"/>
      <c r="D4" s="217"/>
      <c r="F4" s="217"/>
      <c r="G4" s="217"/>
      <c r="H4" s="434" t="s">
        <v>287</v>
      </c>
      <c r="I4" s="434"/>
      <c r="J4" s="434"/>
    </row>
    <row r="5" spans="2:11" ht="19.95" customHeight="1">
      <c r="B5" s="220" t="s">
        <v>265</v>
      </c>
      <c r="C5" s="225"/>
      <c r="D5" s="226">
        <v>50</v>
      </c>
      <c r="E5" s="227"/>
      <c r="F5" s="228"/>
      <c r="G5" s="229"/>
      <c r="H5" s="435" t="s">
        <v>266</v>
      </c>
      <c r="I5" s="428"/>
      <c r="J5" s="428"/>
    </row>
    <row r="6" spans="2:11" ht="19.95" customHeight="1">
      <c r="B6" s="220" t="s">
        <v>267</v>
      </c>
      <c r="C6" s="225"/>
      <c r="D6" s="230">
        <v>0.2</v>
      </c>
      <c r="E6" s="227"/>
      <c r="F6" s="228"/>
      <c r="G6" s="229"/>
      <c r="H6" s="428"/>
      <c r="I6" s="428"/>
      <c r="J6" s="428"/>
    </row>
    <row r="7" spans="2:11" ht="19.95" customHeight="1">
      <c r="B7" s="220" t="s">
        <v>35</v>
      </c>
      <c r="C7" s="225"/>
      <c r="D7" s="965">
        <f>D5/D6</f>
        <v>250</v>
      </c>
      <c r="E7" s="227"/>
      <c r="F7" s="228"/>
      <c r="G7" s="229"/>
      <c r="H7" s="428"/>
      <c r="I7" s="428"/>
      <c r="J7" s="428"/>
    </row>
    <row r="8" spans="2:11" ht="19.95" customHeight="1">
      <c r="B8" s="220" t="s">
        <v>36</v>
      </c>
      <c r="C8" s="225"/>
      <c r="D8" s="230">
        <v>225</v>
      </c>
      <c r="E8" s="227"/>
      <c r="F8" s="228"/>
      <c r="G8" s="229"/>
      <c r="H8" s="428" t="s">
        <v>268</v>
      </c>
      <c r="I8" s="428"/>
      <c r="J8" s="428"/>
    </row>
    <row r="9" spans="2:11" ht="19.95" customHeight="1">
      <c r="B9" s="220" t="s">
        <v>34</v>
      </c>
      <c r="C9" s="225"/>
      <c r="D9" s="4">
        <f>1-(D8/D7)</f>
        <v>9.9999999999999978E-2</v>
      </c>
      <c r="E9" s="227"/>
      <c r="F9" s="228"/>
      <c r="G9" s="229"/>
      <c r="H9" s="428" t="s">
        <v>269</v>
      </c>
      <c r="I9" s="428"/>
      <c r="J9" s="428"/>
    </row>
    <row r="10" spans="2:11" ht="19.95" customHeight="1">
      <c r="B10" s="220" t="s">
        <v>25</v>
      </c>
      <c r="C10" s="225"/>
      <c r="D10" s="231">
        <v>4.0599999999999996</v>
      </c>
      <c r="E10" s="220" t="s">
        <v>32</v>
      </c>
      <c r="F10" s="232"/>
      <c r="G10" s="966">
        <f>G12/(1+G11)</f>
        <v>4.6698113207547172</v>
      </c>
      <c r="H10" s="428"/>
      <c r="I10" s="428"/>
      <c r="J10" s="428"/>
    </row>
    <row r="11" spans="2:11" ht="19.95" customHeight="1">
      <c r="B11" s="220" t="s">
        <v>3</v>
      </c>
      <c r="C11" s="225"/>
      <c r="D11" s="233">
        <v>0.06</v>
      </c>
      <c r="E11" s="220" t="s">
        <v>3</v>
      </c>
      <c r="F11" s="232"/>
      <c r="G11" s="234">
        <v>0.06</v>
      </c>
      <c r="H11" s="428"/>
      <c r="I11" s="428"/>
      <c r="J11" s="428"/>
    </row>
    <row r="12" spans="2:11" ht="19.95" customHeight="1">
      <c r="B12" s="220" t="s">
        <v>33</v>
      </c>
      <c r="C12" s="225"/>
      <c r="D12" s="967">
        <f>D10*(1+D11)</f>
        <v>4.3035999999999994</v>
      </c>
      <c r="E12" s="220" t="s">
        <v>24</v>
      </c>
      <c r="F12" s="232"/>
      <c r="G12" s="235">
        <v>4.95</v>
      </c>
      <c r="H12" s="428"/>
      <c r="I12" s="428"/>
      <c r="J12" s="428"/>
    </row>
    <row r="13" spans="2:11" ht="19.95" customHeight="1">
      <c r="B13" s="220" t="s">
        <v>270</v>
      </c>
      <c r="C13" s="225"/>
      <c r="D13" s="4">
        <f>G10/D10-1</f>
        <v>0.15019983269820636</v>
      </c>
      <c r="E13" s="236"/>
      <c r="F13" s="236"/>
      <c r="G13" s="236"/>
      <c r="H13" s="428" t="s">
        <v>271</v>
      </c>
      <c r="I13" s="428"/>
      <c r="J13" s="428"/>
    </row>
    <row r="14" spans="2:11" ht="18.75" customHeight="1">
      <c r="B14" s="236"/>
      <c r="C14" s="236"/>
      <c r="D14" s="236"/>
      <c r="E14" s="236"/>
      <c r="F14" s="236"/>
      <c r="G14" s="236"/>
      <c r="H14" s="236"/>
      <c r="I14" s="236"/>
    </row>
    <row r="15" spans="2:11" ht="6.75" customHeight="1" thickBot="1"/>
    <row r="16" spans="2:11" s="951" customFormat="1" ht="45" customHeight="1">
      <c r="B16" s="237" t="s">
        <v>4</v>
      </c>
      <c r="C16" s="238" t="s">
        <v>5</v>
      </c>
      <c r="D16" s="239" t="s">
        <v>6</v>
      </c>
      <c r="E16" s="239" t="s">
        <v>7</v>
      </c>
      <c r="F16" s="239" t="s">
        <v>8</v>
      </c>
      <c r="G16" s="239" t="s">
        <v>281</v>
      </c>
      <c r="H16" s="240" t="s">
        <v>30</v>
      </c>
      <c r="I16" s="429" t="s">
        <v>22</v>
      </c>
      <c r="J16" s="429"/>
      <c r="K16" s="430"/>
    </row>
    <row r="17" spans="2:11" s="252" customFormat="1" ht="17.25" customHeight="1">
      <c r="B17" s="208" t="s">
        <v>14</v>
      </c>
      <c r="C17" s="968" t="str">
        <f>IF(ISBLANK(B17),"",_xlfn.XLOOKUP(B17,tblIngredients[Article],tblIngredients[Fournisseur],""))</f>
        <v>Auto</v>
      </c>
      <c r="D17" s="969" t="str">
        <f>IF(ISBLANK(B17),"",_xlfn.XLOOKUP(B17,tblIngredients[Article],tblIngredients[Unité conditionnement],""))</f>
        <v>1 kg</v>
      </c>
      <c r="E17" s="970">
        <f>IF(ISBLANK(B17),"",_xlfn.XLOOKUP(B17,tblIngredients[Article],tblIngredients[Coût d''achat HTVA  à l''unité],""))</f>
        <v>3.5</v>
      </c>
      <c r="F17" s="241">
        <v>50</v>
      </c>
      <c r="G17" s="971">
        <f>IF(OR(F17="",ISBLANK(F17)),"",E17*F17)</f>
        <v>175</v>
      </c>
      <c r="H17" s="5">
        <f>IF(OR(G17="",ISBLANK(G17)),"",G17/G$33)</f>
        <v>0.92115565556674106</v>
      </c>
      <c r="I17" s="242" t="s">
        <v>272</v>
      </c>
      <c r="J17" s="243"/>
      <c r="K17" s="244"/>
    </row>
    <row r="18" spans="2:11" s="252" customFormat="1" ht="17.25" customHeight="1">
      <c r="B18" s="208" t="s">
        <v>15</v>
      </c>
      <c r="C18" s="968" t="str">
        <f>IF(ISBLANK(B18),"",_xlfn.XLOOKUP(B18,tblIngredients[Article],tblIngredients[Fournisseur],""))</f>
        <v>Inbterbio</v>
      </c>
      <c r="D18" s="969" t="str">
        <f>IF(ISBLANK(B18),"",_xlfn.XLOOKUP(B18,tblIngredients[Article],tblIngredients[Unité conditionnement],""))</f>
        <v>1 kg</v>
      </c>
      <c r="E18" s="970">
        <f>IF(ISBLANK(B18),"",_xlfn.XLOOKUP(B18,tblIngredients[Article],tblIngredients[Coût d''achat HTVA  à l''unité],""))</f>
        <v>6</v>
      </c>
      <c r="F18" s="241">
        <v>0.5</v>
      </c>
      <c r="G18" s="971">
        <f t="shared" ref="G18:G32" si="0">IF(OR(F18="",ISBLANK(F18)),"",E18*F18)</f>
        <v>3</v>
      </c>
      <c r="H18" s="5">
        <f t="shared" ref="H18:H32" si="1">IF(OR(G18="",ISBLANK(G18)),"",G18/G$33)</f>
        <v>1.5791239809715561E-2</v>
      </c>
      <c r="I18" s="245"/>
      <c r="J18" s="243"/>
      <c r="K18" s="244"/>
    </row>
    <row r="19" spans="2:11" s="252" customFormat="1" ht="17.25" customHeight="1">
      <c r="B19" s="208" t="s">
        <v>16</v>
      </c>
      <c r="C19" s="968" t="str">
        <f>IF(ISBLANK(B19),"",_xlfn.XLOOKUP(B19,tblIngredients[Article],tblIngredients[Fournisseur],""))</f>
        <v>Interbio</v>
      </c>
      <c r="D19" s="969" t="str">
        <f>IF(ISBLANK(B19),"",_xlfn.XLOOKUP(B19,tblIngredients[Article],tblIngredients[Unité conditionnement],""))</f>
        <v>1 Botte</v>
      </c>
      <c r="E19" s="970">
        <f>IF(ISBLANK(B19),"",_xlfn.XLOOKUP(B19,tblIngredients[Article],tblIngredients[Coût d''achat HTVA  à l''unité],""))</f>
        <v>1.89</v>
      </c>
      <c r="F19" s="241">
        <v>4</v>
      </c>
      <c r="G19" s="971">
        <f t="shared" si="0"/>
        <v>7.56</v>
      </c>
      <c r="H19" s="5">
        <f t="shared" si="1"/>
        <v>3.9793924320483211E-2</v>
      </c>
      <c r="I19" s="245"/>
      <c r="J19" s="243"/>
      <c r="K19" s="244"/>
    </row>
    <row r="20" spans="2:11" s="252" customFormat="1" ht="17.25" customHeight="1">
      <c r="B20" s="208" t="s">
        <v>17</v>
      </c>
      <c r="C20" s="968" t="str">
        <f>IF(ISBLANK(B20),"",_xlfn.XLOOKUP(B20,tblIngredients[Article],tblIngredients[Fournisseur],""))</f>
        <v>Solucious</v>
      </c>
      <c r="D20" s="969" t="str">
        <f>IF(ISBLANK(B20),"",_xlfn.XLOOKUP(B20,tblIngredients[Article],tblIngredients[Unité conditionnement],""))</f>
        <v>1 L</v>
      </c>
      <c r="E20" s="970">
        <f>IF(ISBLANK(B20),"",_xlfn.XLOOKUP(B20,tblIngredients[Article],tblIngredients[Coût d''achat HTVA  à l''unité],""))</f>
        <v>17.649999999999999</v>
      </c>
      <c r="F20" s="241">
        <v>0.25</v>
      </c>
      <c r="G20" s="971">
        <f t="shared" si="0"/>
        <v>4.4124999999999996</v>
      </c>
      <c r="H20" s="5">
        <f t="shared" si="1"/>
        <v>2.3226281886789969E-2</v>
      </c>
      <c r="I20" s="245"/>
      <c r="J20" s="243"/>
      <c r="K20" s="244"/>
    </row>
    <row r="21" spans="2:11" s="252" customFormat="1" ht="17.25" customHeight="1">
      <c r="B21" s="208" t="s">
        <v>359</v>
      </c>
      <c r="C21" s="968" t="str">
        <f>IF(ISBLANK(B21),"",_xlfn.XLOOKUP(B21,tblIngredients[Article],tblIngredients[Fournisseur],""))</f>
        <v>Solucious</v>
      </c>
      <c r="D21" s="969" t="str">
        <f>IF(ISBLANK(B21),"",_xlfn.XLOOKUP(B21,tblIngredients[Article],tblIngredients[Unité conditionnement],""))</f>
        <v>1 Kg</v>
      </c>
      <c r="E21" s="970">
        <f>IF(ISBLANK(B21),"",_xlfn.XLOOKUP(B21,tblIngredients[Article],tblIngredients[Coût d''achat HTVA  à l''unité],""))</f>
        <v>6.25</v>
      </c>
      <c r="F21" s="241">
        <v>1E-3</v>
      </c>
      <c r="G21" s="971">
        <f t="shared" si="0"/>
        <v>6.2500000000000003E-3</v>
      </c>
      <c r="H21" s="5">
        <f t="shared" si="1"/>
        <v>3.2898416270240753E-5</v>
      </c>
      <c r="I21" s="245"/>
      <c r="J21" s="243"/>
      <c r="K21" s="244"/>
    </row>
    <row r="22" spans="2:11" s="252" customFormat="1" ht="17.25" customHeight="1">
      <c r="B22" s="208"/>
      <c r="C22" s="968" t="str">
        <f>IF(ISBLANK(B22),"",_xlfn.XLOOKUP(B22,tblIngredients[Article],tblIngredients[Fournisseur],""))</f>
        <v/>
      </c>
      <c r="D22" s="969" t="str">
        <f>IF(ISBLANK(B22),"",_xlfn.XLOOKUP(B22,tblIngredients[Article],tblIngredients[Unité conditionnement],""))</f>
        <v/>
      </c>
      <c r="E22" s="970" t="str">
        <f>IF(ISBLANK(B22),"",_xlfn.XLOOKUP(B22,tblIngredients[Article],tblIngredients[Coût d''achat HTVA  à l''unité],""))</f>
        <v/>
      </c>
      <c r="F22" s="241"/>
      <c r="G22" s="971" t="str">
        <f t="shared" si="0"/>
        <v/>
      </c>
      <c r="H22" s="5" t="str">
        <f t="shared" si="1"/>
        <v/>
      </c>
      <c r="I22" s="245"/>
      <c r="J22" s="243"/>
      <c r="K22" s="244"/>
    </row>
    <row r="23" spans="2:11" s="252" customFormat="1" ht="17.25" customHeight="1">
      <c r="B23" s="208"/>
      <c r="C23" s="968" t="str">
        <f>IF(ISBLANK(B23),"",_xlfn.XLOOKUP(B23,tblIngredients[Article],tblIngredients[Fournisseur],""))</f>
        <v/>
      </c>
      <c r="D23" s="969" t="str">
        <f>IF(ISBLANK(B23),"",_xlfn.XLOOKUP(B23,tblIngredients[Article],tblIngredients[Unité conditionnement],""))</f>
        <v/>
      </c>
      <c r="E23" s="970" t="str">
        <f>IF(ISBLANK(B23),"",_xlfn.XLOOKUP(B23,tblIngredients[Article],tblIngredients[Coût d''achat HTVA  à l''unité],""))</f>
        <v/>
      </c>
      <c r="F23" s="241"/>
      <c r="G23" s="971" t="str">
        <f t="shared" si="0"/>
        <v/>
      </c>
      <c r="H23" s="5" t="str">
        <f t="shared" si="1"/>
        <v/>
      </c>
      <c r="I23" s="245"/>
      <c r="J23" s="243"/>
      <c r="K23" s="244"/>
    </row>
    <row r="24" spans="2:11" s="252" customFormat="1" ht="17.25" customHeight="1">
      <c r="B24" s="208"/>
      <c r="C24" s="968" t="str">
        <f>IF(ISBLANK(B24),"",_xlfn.XLOOKUP(B24,tblIngredients[Article],tblIngredients[Fournisseur],""))</f>
        <v/>
      </c>
      <c r="D24" s="969" t="str">
        <f>IF(ISBLANK(B24),"",_xlfn.XLOOKUP(B24,tblIngredients[Article],tblIngredients[Unité conditionnement],""))</f>
        <v/>
      </c>
      <c r="E24" s="970" t="str">
        <f>IF(ISBLANK(B24),"",_xlfn.XLOOKUP(B24,tblIngredients[Article],tblIngredients[Coût d''achat HTVA  à l''unité],""))</f>
        <v/>
      </c>
      <c r="F24" s="241"/>
      <c r="G24" s="971" t="str">
        <f t="shared" si="0"/>
        <v/>
      </c>
      <c r="H24" s="5" t="str">
        <f t="shared" si="1"/>
        <v/>
      </c>
      <c r="I24" s="245"/>
      <c r="J24" s="243"/>
      <c r="K24" s="244"/>
    </row>
    <row r="25" spans="2:11" s="252" customFormat="1" ht="17.25" customHeight="1">
      <c r="B25" s="208"/>
      <c r="C25" s="968" t="str">
        <f>IF(ISBLANK(B25),"",_xlfn.XLOOKUP(B25,tblIngredients[Article],tblIngredients[Fournisseur],""))</f>
        <v/>
      </c>
      <c r="D25" s="969" t="str">
        <f>IF(ISBLANK(B25),"",_xlfn.XLOOKUP(B25,tblIngredients[Article],tblIngredients[Unité conditionnement],""))</f>
        <v/>
      </c>
      <c r="E25" s="970" t="str">
        <f>IF(ISBLANK(B25),"",_xlfn.XLOOKUP(B25,tblIngredients[Article],tblIngredients[Coût d''achat HTVA  à l''unité],""))</f>
        <v/>
      </c>
      <c r="F25" s="241"/>
      <c r="G25" s="971" t="str">
        <f t="shared" si="0"/>
        <v/>
      </c>
      <c r="H25" s="5" t="str">
        <f t="shared" si="1"/>
        <v/>
      </c>
      <c r="I25" s="245"/>
      <c r="J25" s="243"/>
      <c r="K25" s="244"/>
    </row>
    <row r="26" spans="2:11" s="252" customFormat="1" ht="17.25" customHeight="1">
      <c r="B26" s="208"/>
      <c r="C26" s="968" t="str">
        <f>IF(ISBLANK(B26),"",_xlfn.XLOOKUP(B26,tblIngredients[Article],tblIngredients[Fournisseur],""))</f>
        <v/>
      </c>
      <c r="D26" s="969" t="str">
        <f>IF(ISBLANK(B26),"",_xlfn.XLOOKUP(B26,tblIngredients[Article],tblIngredients[Unité conditionnement],""))</f>
        <v/>
      </c>
      <c r="E26" s="970" t="str">
        <f>IF(ISBLANK(B26),"",_xlfn.XLOOKUP(B26,tblIngredients[Article],tblIngredients[Coût d''achat HTVA  à l''unité],""))</f>
        <v/>
      </c>
      <c r="F26" s="241"/>
      <c r="G26" s="971" t="str">
        <f t="shared" si="0"/>
        <v/>
      </c>
      <c r="H26" s="5" t="str">
        <f t="shared" si="1"/>
        <v/>
      </c>
      <c r="I26" s="245"/>
      <c r="J26" s="243"/>
      <c r="K26" s="244"/>
    </row>
    <row r="27" spans="2:11" s="252" customFormat="1" ht="17.25" customHeight="1">
      <c r="B27" s="208"/>
      <c r="C27" s="968" t="str">
        <f>IF(ISBLANK(B27),"",_xlfn.XLOOKUP(B27,tblIngredients[Article],tblIngredients[Fournisseur],""))</f>
        <v/>
      </c>
      <c r="D27" s="969" t="str">
        <f>IF(ISBLANK(B27),"",_xlfn.XLOOKUP(B27,tblIngredients[Article],tblIngredients[Unité conditionnement],""))</f>
        <v/>
      </c>
      <c r="E27" s="970" t="str">
        <f>IF(ISBLANK(B27),"",_xlfn.XLOOKUP(B27,tblIngredients[Article],tblIngredients[Coût d''achat HTVA  à l''unité],""))</f>
        <v/>
      </c>
      <c r="F27" s="241"/>
      <c r="G27" s="971" t="str">
        <f t="shared" si="0"/>
        <v/>
      </c>
      <c r="H27" s="5" t="str">
        <f t="shared" si="1"/>
        <v/>
      </c>
      <c r="I27" s="245"/>
      <c r="J27" s="243"/>
      <c r="K27" s="244"/>
    </row>
    <row r="28" spans="2:11" s="252" customFormat="1" ht="17.25" customHeight="1">
      <c r="B28" s="208"/>
      <c r="C28" s="968"/>
      <c r="D28" s="969"/>
      <c r="E28" s="970"/>
      <c r="F28" s="241"/>
      <c r="G28" s="971"/>
      <c r="H28" s="5"/>
      <c r="I28" s="245"/>
      <c r="J28" s="243"/>
      <c r="K28" s="244"/>
    </row>
    <row r="29" spans="2:11" s="252" customFormat="1" ht="17.25" customHeight="1">
      <c r="B29" s="208"/>
      <c r="C29" s="968" t="str">
        <f>IF(ISBLANK(B29),"",_xlfn.XLOOKUP(B29,tblIngredients[Article],tblIngredients[Fournisseur],""))</f>
        <v/>
      </c>
      <c r="D29" s="969" t="str">
        <f>IF(ISBLANK(B29),"",_xlfn.XLOOKUP(B29,tblIngredients[Article],tblIngredients[Unité conditionnement],""))</f>
        <v/>
      </c>
      <c r="E29" s="970" t="str">
        <f>IF(ISBLANK(B29),"",_xlfn.XLOOKUP(B29,tblIngredients[Article],tblIngredients[Coût d''achat HTVA  à l''unité],""))</f>
        <v/>
      </c>
      <c r="F29" s="241"/>
      <c r="G29" s="971" t="str">
        <f t="shared" si="0"/>
        <v/>
      </c>
      <c r="H29" s="5" t="str">
        <f t="shared" si="1"/>
        <v/>
      </c>
      <c r="I29" s="245"/>
      <c r="J29" s="243"/>
      <c r="K29" s="244"/>
    </row>
    <row r="30" spans="2:11" s="252" customFormat="1" ht="17.25" customHeight="1">
      <c r="B30" s="208"/>
      <c r="C30" s="968" t="str">
        <f>IF(ISBLANK(B30),"",_xlfn.XLOOKUP(B30,tblIngredients[Article],tblIngredients[Fournisseur],""))</f>
        <v/>
      </c>
      <c r="D30" s="969" t="str">
        <f>IF(ISBLANK(B30),"",_xlfn.XLOOKUP(B30,tblIngredients[Article],tblIngredients[Unité conditionnement],""))</f>
        <v/>
      </c>
      <c r="E30" s="970" t="str">
        <f>IF(ISBLANK(B30),"",_xlfn.XLOOKUP(B30,tblIngredients[Article],tblIngredients[Coût d''achat HTVA  à l''unité],""))</f>
        <v/>
      </c>
      <c r="F30" s="241"/>
      <c r="G30" s="971" t="str">
        <f t="shared" si="0"/>
        <v/>
      </c>
      <c r="H30" s="5" t="str">
        <f t="shared" si="1"/>
        <v/>
      </c>
      <c r="I30" s="245"/>
      <c r="J30" s="243"/>
      <c r="K30" s="244"/>
    </row>
    <row r="31" spans="2:11" s="252" customFormat="1" ht="17.25" customHeight="1">
      <c r="B31" s="208"/>
      <c r="C31" s="968" t="str">
        <f>IF(ISBLANK(B31),"",_xlfn.XLOOKUP(B31,tblIngredients[Article],tblIngredients[Fournisseur],""))</f>
        <v/>
      </c>
      <c r="D31" s="969" t="str">
        <f>IF(ISBLANK(B31),"",_xlfn.XLOOKUP(B31,tblIngredients[Article],tblIngredients[Unité conditionnement],""))</f>
        <v/>
      </c>
      <c r="E31" s="970" t="str">
        <f>IF(ISBLANK(B31),"",_xlfn.XLOOKUP(B31,tblIngredients[Article],tblIngredients[Coût d''achat HTVA  à l''unité],""))</f>
        <v/>
      </c>
      <c r="F31" s="241"/>
      <c r="G31" s="971" t="str">
        <f t="shared" si="0"/>
        <v/>
      </c>
      <c r="H31" s="5" t="str">
        <f t="shared" si="1"/>
        <v/>
      </c>
      <c r="I31" s="245"/>
      <c r="J31" s="243"/>
      <c r="K31" s="244"/>
    </row>
    <row r="32" spans="2:11" s="252" customFormat="1" ht="17.25" customHeight="1">
      <c r="B32" s="208"/>
      <c r="C32" s="968" t="str">
        <f>IF(ISBLANK(B32),"",_xlfn.XLOOKUP(B32,tblIngredients[Article],tblIngredients[Fournisseur],""))</f>
        <v/>
      </c>
      <c r="D32" s="969" t="str">
        <f>IF(ISBLANK(B32),"",_xlfn.XLOOKUP(B32,tblIngredients[Article],tblIngredients[Unité conditionnement],""))</f>
        <v/>
      </c>
      <c r="E32" s="970" t="str">
        <f>IF(ISBLANK(B32),"",_xlfn.XLOOKUP(B32,tblIngredients[Article],tblIngredients[Coût d''achat HTVA  à l''unité],""))</f>
        <v/>
      </c>
      <c r="F32" s="241"/>
      <c r="G32" s="971" t="str">
        <f t="shared" si="0"/>
        <v/>
      </c>
      <c r="H32" s="5" t="str">
        <f t="shared" si="1"/>
        <v/>
      </c>
      <c r="I32" s="245"/>
      <c r="J32" s="243"/>
      <c r="K32" s="244"/>
    </row>
    <row r="33" spans="2:11" s="252" customFormat="1" ht="17.25" customHeight="1">
      <c r="B33" s="952" t="s">
        <v>29</v>
      </c>
      <c r="C33" s="952"/>
      <c r="D33" s="952"/>
      <c r="E33" s="952"/>
      <c r="F33" s="952"/>
      <c r="G33" s="953">
        <f>SUM(G17:G32)</f>
        <v>189.97874999999999</v>
      </c>
      <c r="H33" s="954">
        <f>IF(G33="","",G33/G$45)</f>
        <v>0.72032302138783477</v>
      </c>
      <c r="I33" s="955"/>
      <c r="J33" s="956"/>
      <c r="K33" s="957"/>
    </row>
    <row r="34" spans="2:11" s="252" customFormat="1" ht="17.25" customHeight="1">
      <c r="B34" s="208" t="s">
        <v>19</v>
      </c>
      <c r="C34" s="968" t="str">
        <f>IF(ISBLANK(B34),"",_xlfn.XLOOKUP(B34,tblConsommables[Article],tblConsommables[Fournisseur],""))</f>
        <v>Grossiste</v>
      </c>
      <c r="D34" s="969" t="str">
        <f>IF(ISBLANK(B34),"",_xlfn.XLOOKUP(B34,tblConsommables[Article],tblConsommables[Unité conditionnement],""))</f>
        <v>Unité</v>
      </c>
      <c r="E34" s="970">
        <f>IF(ISBLANK(B34),"",_xlfn.XLOOKUP(B34,tblConsommables[Article],tblConsommables[Coût d''achat HTVA  à l''unité],""))</f>
        <v>0.154</v>
      </c>
      <c r="F34" s="246">
        <v>230</v>
      </c>
      <c r="G34" s="972">
        <f>IF(OR(F34="",ISBLANK(F34)),"",E34*F34)</f>
        <v>35.42</v>
      </c>
      <c r="H34" s="6">
        <f>IF(OR(G34="",ISBLANK(G34)),"",G34/G$43)</f>
        <v>0.48988285410010646</v>
      </c>
      <c r="I34" s="245"/>
      <c r="J34" s="243"/>
      <c r="K34" s="247"/>
    </row>
    <row r="35" spans="2:11" s="252" customFormat="1" ht="17.25" customHeight="1">
      <c r="B35" s="208" t="s">
        <v>38</v>
      </c>
      <c r="C35" s="968" t="str">
        <f>IF(ISBLANK(B35),"",_xlfn.XLOOKUP(B35,tblConsommables[Article],tblConsommables[Fournisseur],""))</f>
        <v>Grossiste</v>
      </c>
      <c r="D35" s="969" t="str">
        <f>IF(ISBLANK(B35),"",_xlfn.XLOOKUP(B35,tblConsommables[Article],tblConsommables[Unité conditionnement],""))</f>
        <v>Unité</v>
      </c>
      <c r="E35" s="970">
        <f>IF(ISBLANK(B35),"",_xlfn.XLOOKUP(B35,tblConsommables[Article],tblConsommables[Coût d''achat HTVA  à l''unité],""))</f>
        <v>0.12</v>
      </c>
      <c r="F35" s="246">
        <v>250</v>
      </c>
      <c r="G35" s="972">
        <f t="shared" ref="G35:G42" si="2">IF(OR(F35="",ISBLANK(F35)),"",E35*F35)</f>
        <v>30</v>
      </c>
      <c r="H35" s="6">
        <f t="shared" ref="H35:H42" si="3">IF(OR(G35="",ISBLANK(G35)),"",G35/G$43)</f>
        <v>0.41492054271606982</v>
      </c>
      <c r="I35" s="245"/>
      <c r="J35" s="243"/>
      <c r="K35" s="247"/>
    </row>
    <row r="36" spans="2:11" s="252" customFormat="1" ht="17.25" customHeight="1">
      <c r="B36" s="208" t="s">
        <v>27</v>
      </c>
      <c r="C36" s="968" t="str">
        <f>IF(ISBLANK(B36),"",_xlfn.XLOOKUP(B36,tblConsommables[Article],tblConsommables[Fournisseur],""))</f>
        <v>Grossiste</v>
      </c>
      <c r="D36" s="969" t="str">
        <f>IF(ISBLANK(B36),"",_xlfn.XLOOKUP(B36,tblConsommables[Article],tblConsommables[Unité conditionnement],""))</f>
        <v>Rack de 1000</v>
      </c>
      <c r="E36" s="970">
        <f>IF(ISBLANK(B36),"",_xlfn.XLOOKUP(B36,tblConsommables[Article],tblConsommables[Coût d''achat HTVA  à l''unité],""))</f>
        <v>27.3</v>
      </c>
      <c r="F36" s="246">
        <v>0.25</v>
      </c>
      <c r="G36" s="972">
        <f t="shared" si="2"/>
        <v>6.8250000000000002</v>
      </c>
      <c r="H36" s="6">
        <f t="shared" si="3"/>
        <v>9.4394423467905886E-2</v>
      </c>
      <c r="I36" s="245"/>
      <c r="J36" s="243"/>
      <c r="K36" s="247"/>
    </row>
    <row r="37" spans="2:11" s="252" customFormat="1" ht="17.25" customHeight="1">
      <c r="B37" s="208" t="s">
        <v>370</v>
      </c>
      <c r="C37" s="968" t="str">
        <f>IF(ISBLANK(B37),"",_xlfn.XLOOKUP(B37,tblConsommables[Article],tblConsommables[Fournisseur],""))</f>
        <v>Grossiste</v>
      </c>
      <c r="D37" s="969" t="str">
        <f>IF(ISBLANK(B37),"",_xlfn.XLOOKUP(B37,tblConsommables[Article],tblConsommables[Unité conditionnement],""))</f>
        <v>Rack de 1000</v>
      </c>
      <c r="E37" s="970">
        <f>IF(ISBLANK(B37),"",_xlfn.XLOOKUP(B37,tblConsommables[Article],tblConsommables[Coût d''achat HTVA  à l''unité],""))</f>
        <v>58</v>
      </c>
      <c r="F37" s="246">
        <v>1E-3</v>
      </c>
      <c r="G37" s="972">
        <f t="shared" si="2"/>
        <v>5.8000000000000003E-2</v>
      </c>
      <c r="H37" s="6">
        <f t="shared" si="3"/>
        <v>8.0217971591773501E-4</v>
      </c>
      <c r="I37" s="245"/>
      <c r="J37" s="243"/>
      <c r="K37" s="247"/>
    </row>
    <row r="38" spans="2:11" s="252" customFormat="1" ht="17.25" customHeight="1">
      <c r="B38" s="208"/>
      <c r="C38" s="968" t="str">
        <f>IF(ISBLANK(B38),"",_xlfn.XLOOKUP(B38,tblConsommables[Article],tblConsommables[Fournisseur],""))</f>
        <v/>
      </c>
      <c r="D38" s="969" t="str">
        <f>IF(ISBLANK(B38),"",_xlfn.XLOOKUP(B38,tblConsommables[Article],tblConsommables[Unité conditionnement],""))</f>
        <v/>
      </c>
      <c r="E38" s="970" t="str">
        <f>IF(ISBLANK(B38),"",_xlfn.XLOOKUP(B38,tblConsommables[Article],tblConsommables[Coût d''achat HTVA  à l''unité],""))</f>
        <v/>
      </c>
      <c r="F38" s="246"/>
      <c r="G38" s="972" t="str">
        <f t="shared" si="2"/>
        <v/>
      </c>
      <c r="H38" s="6" t="str">
        <f t="shared" si="3"/>
        <v/>
      </c>
      <c r="I38" s="245"/>
      <c r="J38" s="243"/>
      <c r="K38" s="247"/>
    </row>
    <row r="39" spans="2:11" s="252" customFormat="1" ht="17.25" customHeight="1">
      <c r="B39" s="208"/>
      <c r="C39" s="968" t="str">
        <f>IF(ISBLANK(B39),"",_xlfn.XLOOKUP(B39,tblConsommables[Article],tblConsommables[Fournisseur],""))</f>
        <v/>
      </c>
      <c r="D39" s="969" t="str">
        <f>IF(ISBLANK(B39),"",_xlfn.XLOOKUP(B39,tblConsommables[Article],tblConsommables[Unité conditionnement],""))</f>
        <v/>
      </c>
      <c r="E39" s="970" t="str">
        <f>IF(ISBLANK(B39),"",_xlfn.XLOOKUP(B39,tblConsommables[Article],tblConsommables[Coût d''achat HTVA  à l''unité],""))</f>
        <v/>
      </c>
      <c r="F39" s="246"/>
      <c r="G39" s="972" t="str">
        <f t="shared" si="2"/>
        <v/>
      </c>
      <c r="H39" s="6" t="str">
        <f t="shared" si="3"/>
        <v/>
      </c>
      <c r="I39" s="245"/>
      <c r="J39" s="243"/>
      <c r="K39" s="247"/>
    </row>
    <row r="40" spans="2:11" s="252" customFormat="1" ht="17.25" customHeight="1">
      <c r="B40" s="208"/>
      <c r="C40" s="968" t="str">
        <f>IF(ISBLANK(B40),"",_xlfn.XLOOKUP(B40,tblConsommables[Article],tblConsommables[Fournisseur],""))</f>
        <v/>
      </c>
      <c r="D40" s="969" t="str">
        <f>IF(ISBLANK(B40),"",_xlfn.XLOOKUP(B40,tblConsommables[Article],tblConsommables[Unité conditionnement],""))</f>
        <v/>
      </c>
      <c r="E40" s="970" t="str">
        <f>IF(ISBLANK(B40),"",_xlfn.XLOOKUP(B40,tblConsommables[Article],tblConsommables[Coût d''achat HTVA  à l''unité],""))</f>
        <v/>
      </c>
      <c r="F40" s="246"/>
      <c r="G40" s="972" t="str">
        <f t="shared" si="2"/>
        <v/>
      </c>
      <c r="H40" s="6" t="str">
        <f t="shared" si="3"/>
        <v/>
      </c>
      <c r="I40" s="245"/>
      <c r="J40" s="243"/>
      <c r="K40" s="247"/>
    </row>
    <row r="41" spans="2:11" s="252" customFormat="1" ht="17.25" customHeight="1">
      <c r="B41" s="208"/>
      <c r="C41" s="968" t="str">
        <f>IF(ISBLANK(B41),"",_xlfn.XLOOKUP(B41,tblConsommables[Article],tblConsommables[Fournisseur],""))</f>
        <v/>
      </c>
      <c r="D41" s="969" t="str">
        <f>IF(ISBLANK(B41),"",_xlfn.XLOOKUP(B41,tblConsommables[Article],tblConsommables[Unité conditionnement],""))</f>
        <v/>
      </c>
      <c r="E41" s="970" t="str">
        <f>IF(ISBLANK(B41),"",_xlfn.XLOOKUP(B41,tblConsommables[Article],tblConsommables[Coût d''achat HTVA  à l''unité],""))</f>
        <v/>
      </c>
      <c r="F41" s="246"/>
      <c r="G41" s="972" t="str">
        <f t="shared" si="2"/>
        <v/>
      </c>
      <c r="H41" s="6" t="str">
        <f t="shared" si="3"/>
        <v/>
      </c>
      <c r="I41" s="245"/>
      <c r="J41" s="243"/>
      <c r="K41" s="247"/>
    </row>
    <row r="42" spans="2:11" s="252" customFormat="1" ht="17.25" customHeight="1" thickBot="1">
      <c r="B42" s="208"/>
      <c r="C42" s="968" t="str">
        <f>IF(ISBLANK(B42),"",_xlfn.XLOOKUP(B42,tblConsommables[Article],tblConsommables[Fournisseur],""))</f>
        <v/>
      </c>
      <c r="D42" s="969" t="str">
        <f>IF(ISBLANK(B42),"",_xlfn.XLOOKUP(B42,tblConsommables[Article],tblConsommables[Unité conditionnement],""))</f>
        <v/>
      </c>
      <c r="E42" s="970" t="str">
        <f>IF(ISBLANK(B42),"",_xlfn.XLOOKUP(B42,tblConsommables[Article],tblConsommables[Coût d''achat HTVA  à l''unité],""))</f>
        <v/>
      </c>
      <c r="F42" s="248"/>
      <c r="G42" s="972" t="str">
        <f t="shared" si="2"/>
        <v/>
      </c>
      <c r="H42" s="6" t="str">
        <f t="shared" si="3"/>
        <v/>
      </c>
      <c r="I42" s="245"/>
      <c r="J42" s="243"/>
      <c r="K42" s="247"/>
    </row>
    <row r="43" spans="2:11" s="252" customFormat="1" ht="17.25" customHeight="1" thickBot="1">
      <c r="B43" s="958" t="s">
        <v>31</v>
      </c>
      <c r="C43" s="959"/>
      <c r="D43" s="959"/>
      <c r="E43" s="959"/>
      <c r="F43" s="959"/>
      <c r="G43" s="960">
        <f>SUM(G34:G42)</f>
        <v>72.303000000000011</v>
      </c>
      <c r="H43" s="961">
        <f>IF(G43="","",G43/G$45)</f>
        <v>0.27414389985935073</v>
      </c>
      <c r="I43" s="962"/>
      <c r="J43" s="962"/>
      <c r="K43" s="962"/>
    </row>
    <row r="44" spans="2:11" s="252" customFormat="1" ht="17.25" customHeight="1">
      <c r="B44" s="958" t="s">
        <v>180</v>
      </c>
      <c r="C44" s="959"/>
      <c r="D44" s="959"/>
      <c r="E44" s="959"/>
      <c r="F44" s="959"/>
      <c r="G44" s="963">
        <f>J73</f>
        <v>1.4593</v>
      </c>
      <c r="H44" s="961">
        <f>IF(G44="","",G44/G$45)</f>
        <v>5.5330787528145515E-3</v>
      </c>
      <c r="I44" s="964"/>
      <c r="J44" s="962"/>
      <c r="K44" s="962"/>
    </row>
    <row r="45" spans="2:11" s="252" customFormat="1" ht="17.25" customHeight="1">
      <c r="B45" s="249" t="s">
        <v>273</v>
      </c>
      <c r="C45" s="250"/>
      <c r="D45" s="250"/>
      <c r="E45" s="250"/>
      <c r="F45" s="251"/>
      <c r="G45" s="973">
        <f>SUM(G33,G43,G44)</f>
        <v>263.74104999999997</v>
      </c>
      <c r="H45" s="7">
        <f>IF(G45="","",G45/G$45)</f>
        <v>1</v>
      </c>
    </row>
    <row r="46" spans="2:11" s="252" customFormat="1" ht="17.25" customHeight="1">
      <c r="B46" s="220" t="s">
        <v>274</v>
      </c>
      <c r="C46" s="253"/>
      <c r="D46" s="253"/>
      <c r="E46" s="253"/>
      <c r="F46" s="254"/>
      <c r="G46" s="973">
        <f>G45/D8</f>
        <v>1.1721824444444444</v>
      </c>
      <c r="H46" s="255"/>
    </row>
    <row r="47" spans="2:11" s="252" customFormat="1" ht="17.25" customHeight="1">
      <c r="H47" s="256"/>
    </row>
    <row r="48" spans="2:11" s="252" customFormat="1" ht="17.25" customHeight="1">
      <c r="B48" s="431" t="s">
        <v>275</v>
      </c>
      <c r="C48" s="432"/>
      <c r="D48" s="432"/>
      <c r="E48" s="432"/>
      <c r="F48" s="432"/>
      <c r="G48" s="433"/>
      <c r="H48" s="257"/>
      <c r="I48" s="431" t="s">
        <v>26</v>
      </c>
      <c r="J48" s="432"/>
      <c r="K48" s="433"/>
    </row>
    <row r="49" spans="2:17" s="252" customFormat="1" ht="17.25" customHeight="1">
      <c r="B49" s="220" t="s">
        <v>276</v>
      </c>
      <c r="C49" s="258"/>
      <c r="D49" s="258"/>
      <c r="E49" s="259"/>
      <c r="F49" s="260"/>
      <c r="G49" s="974">
        <f>D10</f>
        <v>4.0599999999999996</v>
      </c>
      <c r="H49" s="261"/>
      <c r="I49" s="220" t="s">
        <v>9</v>
      </c>
      <c r="J49" s="254"/>
      <c r="K49" s="974">
        <f>G10</f>
        <v>4.6698113207547172</v>
      </c>
    </row>
    <row r="50" spans="2:17" s="252" customFormat="1" ht="17.25" customHeight="1">
      <c r="B50" s="220" t="s">
        <v>277</v>
      </c>
      <c r="C50" s="258"/>
      <c r="D50" s="258"/>
      <c r="E50" s="253"/>
      <c r="F50" s="262"/>
      <c r="G50" s="975">
        <f>G49-G46</f>
        <v>2.8878175555555554</v>
      </c>
      <c r="H50" s="263"/>
      <c r="I50" s="220" t="s">
        <v>10</v>
      </c>
      <c r="J50" s="254"/>
      <c r="K50" s="975">
        <f>K49-G46</f>
        <v>3.497628876310273</v>
      </c>
    </row>
    <row r="51" spans="2:17" s="252" customFormat="1" ht="17.25" customHeight="1">
      <c r="B51" s="220" t="s">
        <v>378</v>
      </c>
      <c r="C51" s="258"/>
      <c r="D51" s="258"/>
      <c r="E51" s="253"/>
      <c r="F51" s="260"/>
      <c r="G51" s="975">
        <f>G50*$D8</f>
        <v>649.75894999999991</v>
      </c>
      <c r="H51" s="263"/>
      <c r="I51" s="220" t="s">
        <v>378</v>
      </c>
      <c r="J51" s="254"/>
      <c r="K51" s="975">
        <f>K50*$D8</f>
        <v>786.96649716981142</v>
      </c>
    </row>
    <row r="52" spans="2:17" s="252" customFormat="1" ht="17.25" customHeight="1">
      <c r="B52" s="220" t="s">
        <v>379</v>
      </c>
      <c r="C52" s="258"/>
      <c r="D52" s="258"/>
      <c r="E52" s="253"/>
      <c r="F52" s="260"/>
      <c r="G52" s="975">
        <f>G51/($C73*(1/60))</f>
        <v>135.36644791666666</v>
      </c>
      <c r="H52" s="263"/>
      <c r="I52" s="220" t="s">
        <v>379</v>
      </c>
      <c r="J52" s="254"/>
      <c r="K52" s="975">
        <f>K51/($C73*(1/60))</f>
        <v>163.95135357704405</v>
      </c>
    </row>
    <row r="53" spans="2:17" s="252" customFormat="1" ht="17.25" customHeight="1">
      <c r="B53" s="220" t="s">
        <v>278</v>
      </c>
      <c r="C53" s="258"/>
      <c r="D53" s="258"/>
      <c r="E53" s="253"/>
      <c r="F53" s="260"/>
      <c r="G53" s="8">
        <f>G50/$G$46</f>
        <v>2.4636246424286243</v>
      </c>
      <c r="H53" s="264"/>
      <c r="I53" s="220" t="s">
        <v>11</v>
      </c>
      <c r="J53" s="254"/>
      <c r="K53" s="8">
        <f>K50/$G$46</f>
        <v>2.9838604842507888</v>
      </c>
    </row>
    <row r="54" spans="2:17" s="252" customFormat="1" ht="17.25" customHeight="1" thickBot="1">
      <c r="B54" s="220" t="s">
        <v>12</v>
      </c>
      <c r="C54" s="258"/>
      <c r="D54" s="258"/>
      <c r="E54" s="253"/>
      <c r="F54" s="260"/>
      <c r="G54" s="976">
        <f>G49/$G$46</f>
        <v>3.4636246424286243</v>
      </c>
      <c r="H54" s="261"/>
      <c r="I54" s="220" t="s">
        <v>12</v>
      </c>
      <c r="J54" s="254"/>
      <c r="K54" s="976">
        <f>K49/$G$46</f>
        <v>3.9838604842507883</v>
      </c>
    </row>
    <row r="55" spans="2:17" ht="13.8">
      <c r="B55" s="220" t="s">
        <v>13</v>
      </c>
      <c r="C55" s="258"/>
      <c r="D55" s="258"/>
      <c r="E55" s="265"/>
      <c r="F55" s="266"/>
      <c r="G55" s="9">
        <f>G46/G49</f>
        <v>0.28871488779419818</v>
      </c>
      <c r="I55" s="220" t="s">
        <v>13</v>
      </c>
      <c r="J55" s="254"/>
      <c r="K55" s="9">
        <f>G46/K49</f>
        <v>0.25101280628507294</v>
      </c>
      <c r="L55" s="252"/>
      <c r="M55" s="252"/>
      <c r="N55" s="252"/>
      <c r="O55" s="252"/>
      <c r="P55" s="252"/>
      <c r="Q55" s="252"/>
    </row>
    <row r="56" spans="2:17" ht="14.4" thickBot="1">
      <c r="B56" s="220" t="s">
        <v>371</v>
      </c>
      <c r="F56" s="267"/>
      <c r="G56" s="34">
        <f ca="1">'4. CHARGES FIXES'!J18/(1-G55)</f>
        <v>29865.873899911589</v>
      </c>
      <c r="I56" s="220" t="s">
        <v>373</v>
      </c>
      <c r="K56" s="34">
        <f ca="1">'4. CHARGES FIXES'!J18/(1-K55)</f>
        <v>28362.502918986254</v>
      </c>
      <c r="L56" s="252"/>
      <c r="M56" s="252"/>
      <c r="N56" s="252"/>
      <c r="O56" s="252"/>
      <c r="P56" s="252"/>
      <c r="Q56" s="252"/>
    </row>
    <row r="57" spans="2:17" ht="14.4" thickBot="1">
      <c r="B57" s="268" t="s">
        <v>372</v>
      </c>
      <c r="F57" s="267"/>
      <c r="G57" s="977">
        <f ca="1">G56/G49</f>
        <v>7356.1265763329047</v>
      </c>
      <c r="I57" s="220" t="s">
        <v>374</v>
      </c>
      <c r="K57" s="977">
        <f ca="1">K56/K49</f>
        <v>6073.5864836617029</v>
      </c>
      <c r="L57" s="252"/>
      <c r="M57" s="252"/>
      <c r="N57" s="252"/>
      <c r="O57" s="252"/>
      <c r="P57" s="252"/>
      <c r="Q57" s="252"/>
    </row>
    <row r="58" spans="2:17" ht="14.4" thickBot="1">
      <c r="F58" s="267"/>
      <c r="K58" s="252"/>
      <c r="L58" s="252"/>
      <c r="M58" s="252"/>
      <c r="N58" s="252"/>
      <c r="O58" s="252"/>
      <c r="P58" s="252"/>
      <c r="Q58" s="252"/>
    </row>
    <row r="59" spans="2:17" ht="13.8">
      <c r="B59" s="436" t="s">
        <v>279</v>
      </c>
      <c r="C59" s="437"/>
      <c r="D59" s="437"/>
      <c r="E59" s="437"/>
      <c r="F59" s="437"/>
      <c r="G59" s="437"/>
      <c r="H59" s="437"/>
      <c r="I59" s="437"/>
      <c r="J59" s="438"/>
      <c r="K59" s="252"/>
      <c r="L59" s="252"/>
      <c r="M59" s="252"/>
      <c r="N59" s="252"/>
      <c r="O59" s="252"/>
      <c r="P59" s="252"/>
      <c r="Q59" s="252"/>
    </row>
    <row r="60" spans="2:17" ht="13.8">
      <c r="B60" s="269" t="s">
        <v>41</v>
      </c>
      <c r="C60" s="269" t="s">
        <v>280</v>
      </c>
      <c r="D60" s="269" t="s">
        <v>168</v>
      </c>
      <c r="E60" s="269" t="s">
        <v>282</v>
      </c>
      <c r="F60" s="269" t="s">
        <v>169</v>
      </c>
      <c r="G60" s="269" t="s">
        <v>172</v>
      </c>
      <c r="H60" s="269" t="s">
        <v>170</v>
      </c>
      <c r="I60" s="269" t="s">
        <v>174</v>
      </c>
      <c r="J60" s="269" t="s">
        <v>179</v>
      </c>
    </row>
    <row r="61" spans="2:17" ht="13.8">
      <c r="B61" s="270" t="s">
        <v>46</v>
      </c>
      <c r="C61" s="271">
        <v>20</v>
      </c>
      <c r="D61" s="271">
        <v>0</v>
      </c>
      <c r="E61" s="978">
        <f>C61+D61</f>
        <v>20</v>
      </c>
      <c r="F61" s="271"/>
      <c r="G61" s="271"/>
      <c r="H61" s="978">
        <f t="shared" ref="H61:H62" si="4">G61*D61/60</f>
        <v>0</v>
      </c>
      <c r="I61" s="272"/>
      <c r="J61" s="979" cm="1">
        <f t="array" ref="J61">_xlfn.IFS(I61=Listes!$C$2,'1. DONNEES DE BASE'!$B$2*H61,'FT_PROD (5)'!I61=Listes!$C$3,'1. DONNEES DE BASE'!$B$3*'FT_PROD (5)'!H61,TRUE,0)</f>
        <v>0</v>
      </c>
    </row>
    <row r="62" spans="2:17" ht="13.8">
      <c r="B62" s="270" t="s">
        <v>45</v>
      </c>
      <c r="C62" s="271">
        <v>120</v>
      </c>
      <c r="D62" s="271">
        <v>0</v>
      </c>
      <c r="E62" s="978">
        <f t="shared" ref="E62:E72" si="5">C62+D62</f>
        <v>120</v>
      </c>
      <c r="F62" s="271"/>
      <c r="G62" s="271"/>
      <c r="H62" s="978">
        <f t="shared" si="4"/>
        <v>0</v>
      </c>
      <c r="I62" s="272"/>
      <c r="J62" s="979" cm="1">
        <f t="array" ref="J62">_xlfn.IFS(I62=Listes!$C$2,'1. DONNEES DE BASE'!$B$2*H62,'FT_PROD (5)'!I62=Listes!$C$3,'1. DONNEES DE BASE'!$B$3*'FT_PROD (5)'!H62,TRUE,0)</f>
        <v>0</v>
      </c>
    </row>
    <row r="63" spans="2:17" ht="13.8">
      <c r="B63" s="270" t="s">
        <v>42</v>
      </c>
      <c r="C63" s="271">
        <v>10</v>
      </c>
      <c r="D63" s="273">
        <v>120</v>
      </c>
      <c r="E63" s="978">
        <f t="shared" si="5"/>
        <v>130</v>
      </c>
      <c r="F63" s="271" t="s">
        <v>173</v>
      </c>
      <c r="G63" s="271">
        <v>3</v>
      </c>
      <c r="H63" s="978">
        <f>G63*D63/60</f>
        <v>6</v>
      </c>
      <c r="I63" s="272" t="s">
        <v>175</v>
      </c>
      <c r="J63" s="979" cm="1">
        <f t="array" ref="J63">_xlfn.IFS(I63=Listes!$C$2,'1. DONNEES DE BASE'!$B$2*H63,'FT_PROD (5)'!I63=Listes!$C$3,'1. DONNEES DE BASE'!$B$3*'FT_PROD (5)'!H63,TRUE,0)</f>
        <v>0.48180000000000001</v>
      </c>
    </row>
    <row r="64" spans="2:17" ht="13.8">
      <c r="B64" s="270" t="s">
        <v>43</v>
      </c>
      <c r="C64" s="271">
        <v>3</v>
      </c>
      <c r="D64" s="271">
        <v>0</v>
      </c>
      <c r="E64" s="978">
        <f t="shared" si="5"/>
        <v>3</v>
      </c>
      <c r="F64" s="271"/>
      <c r="G64" s="271"/>
      <c r="H64" s="978">
        <f t="shared" ref="H64:H72" si="6">G64*D64/60</f>
        <v>0</v>
      </c>
      <c r="I64" s="272"/>
      <c r="J64" s="979" cm="1">
        <f t="array" ref="J64">_xlfn.IFS(I64=Listes!$C$2,'1. DONNEES DE BASE'!$B$2*H64,'FT_PROD (5)'!I64=Listes!$C$3,'1. DONNEES DE BASE'!$B$3*'FT_PROD (5)'!H64,TRUE,0)</f>
        <v>0</v>
      </c>
    </row>
    <row r="65" spans="2:10" ht="13.8">
      <c r="B65" s="270" t="s">
        <v>44</v>
      </c>
      <c r="C65" s="271">
        <v>15</v>
      </c>
      <c r="D65" s="273">
        <v>120</v>
      </c>
      <c r="E65" s="978">
        <f t="shared" si="5"/>
        <v>135</v>
      </c>
      <c r="F65" s="271"/>
      <c r="G65" s="271">
        <v>2</v>
      </c>
      <c r="H65" s="978">
        <f t="shared" si="6"/>
        <v>4</v>
      </c>
      <c r="I65" s="272" t="s">
        <v>176</v>
      </c>
      <c r="J65" s="979" cm="1">
        <f t="array" ref="J65">_xlfn.IFS(I65=Listes!$C$2,'1. DONNEES DE BASE'!$B$2*H65,'FT_PROD (5)'!I65=Listes!$C$3,'1. DONNEES DE BASE'!$B$3*'FT_PROD (5)'!H65,TRUE,0)</f>
        <v>0.8</v>
      </c>
    </row>
    <row r="66" spans="2:10" ht="13.8">
      <c r="B66" s="270" t="s">
        <v>27</v>
      </c>
      <c r="C66" s="271">
        <v>120</v>
      </c>
      <c r="D66" s="271">
        <v>0</v>
      </c>
      <c r="E66" s="978">
        <f t="shared" si="5"/>
        <v>120</v>
      </c>
      <c r="F66" s="271"/>
      <c r="G66" s="271"/>
      <c r="H66" s="978">
        <f t="shared" si="6"/>
        <v>0</v>
      </c>
      <c r="I66" s="272"/>
      <c r="J66" s="979" cm="1">
        <f t="array" ref="J66">_xlfn.IFS(I66=Listes!$C$2,'1. DONNEES DE BASE'!$B$2*H66,'FT_PROD (5)'!I66=Listes!$C$3,'1. DONNEES DE BASE'!$B$3*'FT_PROD (5)'!H66,TRUE,0)</f>
        <v>0</v>
      </c>
    </row>
    <row r="67" spans="2:10" ht="13.8">
      <c r="B67" s="274" t="s">
        <v>167</v>
      </c>
      <c r="C67" s="271">
        <v>0</v>
      </c>
      <c r="D67" s="271">
        <v>0</v>
      </c>
      <c r="E67" s="978">
        <f t="shared" si="5"/>
        <v>0</v>
      </c>
      <c r="F67" s="271"/>
      <c r="G67" s="271"/>
      <c r="H67" s="978">
        <f t="shared" si="6"/>
        <v>0</v>
      </c>
      <c r="I67" s="272"/>
      <c r="J67" s="979" cm="1">
        <f t="array" ref="J67">_xlfn.IFS(I67=Listes!$C$2,'1. DONNEES DE BASE'!$B$2*H67,'FT_PROD (5)'!I67=Listes!$C$3,'1. DONNEES DE BASE'!$B$3*'FT_PROD (5)'!H67,TRUE,0)</f>
        <v>0</v>
      </c>
    </row>
    <row r="68" spans="2:10" ht="13.8">
      <c r="B68" s="274" t="s">
        <v>48</v>
      </c>
      <c r="C68" s="271">
        <v>0</v>
      </c>
      <c r="D68" s="271">
        <v>15</v>
      </c>
      <c r="E68" s="978">
        <f t="shared" si="5"/>
        <v>15</v>
      </c>
      <c r="F68" s="271" t="s">
        <v>171</v>
      </c>
      <c r="G68" s="271">
        <v>3.55</v>
      </c>
      <c r="H68" s="978">
        <f t="shared" si="6"/>
        <v>0.88749999999999996</v>
      </c>
      <c r="I68" s="272" t="s">
        <v>176</v>
      </c>
      <c r="J68" s="979" cm="1">
        <f t="array" ref="J68">_xlfn.IFS(I68=Listes!$C$2,'1. DONNEES DE BASE'!$B$2*H68,'FT_PROD (5)'!I68=Listes!$C$3,'1. DONNEES DE BASE'!$B$3*'FT_PROD (5)'!H68,TRUE,0)</f>
        <v>0.17749999999999999</v>
      </c>
    </row>
    <row r="69" spans="2:10" ht="13.8">
      <c r="B69" s="274" t="s">
        <v>283</v>
      </c>
      <c r="C69" s="271">
        <v>0</v>
      </c>
      <c r="D69" s="271">
        <v>0</v>
      </c>
      <c r="E69" s="978">
        <f t="shared" si="5"/>
        <v>0</v>
      </c>
      <c r="F69" s="271"/>
      <c r="G69" s="271"/>
      <c r="H69" s="978">
        <f t="shared" si="6"/>
        <v>0</v>
      </c>
      <c r="I69" s="272"/>
      <c r="J69" s="979" cm="1">
        <f t="array" ref="J69">_xlfn.IFS(I69=Listes!$C$2,'1. DONNEES DE BASE'!$B$2*H69,'FT_PROD (5)'!I69=Listes!$C$3,'1. DONNEES DE BASE'!$B$3*'FT_PROD (5)'!H69,TRUE,0)</f>
        <v>0</v>
      </c>
    </row>
    <row r="70" spans="2:10" ht="13.8">
      <c r="B70" s="274" t="s">
        <v>284</v>
      </c>
      <c r="C70" s="271">
        <v>0</v>
      </c>
      <c r="D70" s="271">
        <v>0</v>
      </c>
      <c r="E70" s="978">
        <f t="shared" si="5"/>
        <v>0</v>
      </c>
      <c r="F70" s="271"/>
      <c r="G70" s="271"/>
      <c r="H70" s="978">
        <f t="shared" si="6"/>
        <v>0</v>
      </c>
      <c r="I70" s="272"/>
      <c r="J70" s="979" cm="1">
        <f t="array" ref="J70">_xlfn.IFS(I70=Listes!$C$2,'1. DONNEES DE BASE'!$B$2*H70,'FT_PROD (5)'!I70=Listes!$C$3,'1. DONNEES DE BASE'!$B$3*'FT_PROD (5)'!H70,TRUE,0)</f>
        <v>0</v>
      </c>
    </row>
    <row r="71" spans="2:10" ht="13.8">
      <c r="B71" s="274" t="s">
        <v>285</v>
      </c>
      <c r="C71" s="271">
        <v>0</v>
      </c>
      <c r="D71" s="271">
        <v>0</v>
      </c>
      <c r="E71" s="978">
        <f t="shared" si="5"/>
        <v>0</v>
      </c>
      <c r="F71" s="271"/>
      <c r="G71" s="271"/>
      <c r="H71" s="978">
        <f t="shared" si="6"/>
        <v>0</v>
      </c>
      <c r="I71" s="272"/>
      <c r="J71" s="979" cm="1">
        <f t="array" ref="J71">_xlfn.IFS(I71=Listes!$C$2,'1. DONNEES DE BASE'!$B$2*H71,'FT_PROD (5)'!I71=Listes!$C$3,'1. DONNEES DE BASE'!$B$3*'FT_PROD (5)'!H71,TRUE,0)</f>
        <v>0</v>
      </c>
    </row>
    <row r="72" spans="2:10" ht="13.8">
      <c r="B72" s="274" t="s">
        <v>286</v>
      </c>
      <c r="C72" s="271">
        <v>0</v>
      </c>
      <c r="D72" s="271">
        <v>0</v>
      </c>
      <c r="E72" s="978">
        <f t="shared" si="5"/>
        <v>0</v>
      </c>
      <c r="F72" s="271"/>
      <c r="G72" s="271"/>
      <c r="H72" s="978">
        <f t="shared" si="6"/>
        <v>0</v>
      </c>
      <c r="I72" s="272"/>
      <c r="J72" s="979" cm="1">
        <f t="array" ref="J72">_xlfn.IFS(I72=Listes!$C$2,'1. DONNEES DE BASE'!$B$2*H72,'FT_PROD (5)'!I72=Listes!$C$3,'1. DONNEES DE BASE'!$B$3*'FT_PROD (5)'!H72,TRUE,0)</f>
        <v>0</v>
      </c>
    </row>
    <row r="73" spans="2:10" ht="14.4" thickBot="1">
      <c r="B73" s="980" t="s">
        <v>47</v>
      </c>
      <c r="C73" s="981">
        <f>SUM(C61:C72)</f>
        <v>288</v>
      </c>
      <c r="D73" s="981">
        <f>SUM(D61:D72)</f>
        <v>255</v>
      </c>
      <c r="E73" s="981">
        <f>SUM(E61:E72)</f>
        <v>543</v>
      </c>
      <c r="F73" s="981"/>
      <c r="G73" s="981"/>
      <c r="H73" s="981">
        <f>SUM(H61:H72)</f>
        <v>10.887499999999999</v>
      </c>
      <c r="I73" s="981"/>
      <c r="J73" s="10">
        <f>SUMIF(J61:J72,"&lt;&gt;#N/A")</f>
        <v>1.4593</v>
      </c>
    </row>
    <row r="76" spans="2:10">
      <c r="B76" s="275" t="s">
        <v>497</v>
      </c>
      <c r="C76" s="275"/>
    </row>
    <row r="77" spans="2:10">
      <c r="B77" s="276" t="s">
        <v>498</v>
      </c>
      <c r="C77" s="982">
        <f>SUMIFS(G17:G32,C17:C32,"Auto")</f>
        <v>175</v>
      </c>
    </row>
    <row r="78" spans="2:10">
      <c r="B78" s="276" t="s">
        <v>499</v>
      </c>
      <c r="C78" s="983">
        <f>C77/D8</f>
        <v>0.77777777777777779</v>
      </c>
    </row>
  </sheetData>
  <sheetProtection algorithmName="SHA-512" hashValue="B6T0W6035frGX3nMly5Y3lZsefG4UXu7lCr1QwqC4neMsFgSVK2+9SswrzB9yiuL6fP7Z/SJ9oH7nc8DdbvVDQ==" saltValue="N35Geqnd46aIqBhKAcZ/vw==" spinCount="100000" sheet="1" objects="1" scenarios="1" formatCells="0" formatColumns="0" formatRows="0" insertRows="0" insertHyperlinks="0" sort="0" autoFilter="0" pivotTables="0"/>
  <protectedRanges>
    <protectedRange sqref="I61:I72" name="TYpe energie"/>
    <protectedRange sqref="C2:C3 D5:D6 D8 D10:D11 G11:G12" name="Données de base"/>
    <protectedRange sqref="I17:K32 I34:K42 B34:F42 B17:F32" name="Ingred et consommables"/>
    <protectedRange sqref="B61:D72 F61:G72" name="Energie et travail"/>
  </protectedRanges>
  <mergeCells count="17">
    <mergeCell ref="B33:F33"/>
    <mergeCell ref="H4:J4"/>
    <mergeCell ref="H5:J5"/>
    <mergeCell ref="H6:J6"/>
    <mergeCell ref="H7:J7"/>
    <mergeCell ref="H8:J8"/>
    <mergeCell ref="H9:J9"/>
    <mergeCell ref="H10:J10"/>
    <mergeCell ref="H11:J11"/>
    <mergeCell ref="H12:J12"/>
    <mergeCell ref="H13:J13"/>
    <mergeCell ref="I16:K16"/>
    <mergeCell ref="B43:F43"/>
    <mergeCell ref="B44:F44"/>
    <mergeCell ref="B48:G48"/>
    <mergeCell ref="I48:K48"/>
    <mergeCell ref="B59:J59"/>
  </mergeCells>
  <dataValidations count="2">
    <dataValidation type="list" allowBlank="1" showInputMessage="1" showErrorMessage="1" errorTitle="Ingrédient invalide" error="Veuillez sélectionner un ingrédient dans la liste." sqref="B17:B32" xr:uid="{87EA1424-9805-42E6-9BCB-12C38A2601C6}">
      <formula1>ListeIngredients</formula1>
    </dataValidation>
    <dataValidation type="list" allowBlank="1" showInputMessage="1" showErrorMessage="1" errorTitle="Consommable invalide" error="Veuillez sélectionner un consommable dans la liste." sqref="B34:B42" xr:uid="{B56E79A9-2D05-48FF-89B7-2D1E5D7BDAB1}">
      <formula1>ListeConsommables</formula1>
    </dataValidation>
  </dataValidations>
  <pageMargins left="0.39370078740157483" right="0.39370078740157483" top="0.39370078740157483" bottom="0.39370078740157483" header="0.51181102362204722" footer="0.51181102362204722"/>
  <pageSetup paperSize="9" scale="65"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85F0AB4-277D-4F04-9DBB-4797C67D6589}">
          <x14:formula1>
            <xm:f>Listes!$C$2:$C$5</xm:f>
          </x14:formula1>
          <xm:sqref>I61:I63 I65:I72</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8EE5A-6DD5-4C14-9EDF-ECC7853C34A7}">
  <sheetPr>
    <pageSetUpPr fitToPage="1"/>
  </sheetPr>
  <dimension ref="B1:Q78"/>
  <sheetViews>
    <sheetView showGridLines="0" zoomScale="85" zoomScaleNormal="85" workbookViewId="0">
      <selection activeCell="C4" sqref="C4"/>
    </sheetView>
  </sheetViews>
  <sheetFormatPr baseColWidth="10" defaultColWidth="11.44140625" defaultRowHeight="13.2"/>
  <cols>
    <col min="1" max="1" width="1.44140625" style="219" customWidth="1"/>
    <col min="2" max="2" width="23.109375" style="219" customWidth="1"/>
    <col min="3" max="3" width="20" style="219" customWidth="1"/>
    <col min="4" max="4" width="19" style="219" customWidth="1"/>
    <col min="5" max="5" width="13.6640625" style="219" bestFit="1" customWidth="1"/>
    <col min="6" max="6" width="23.21875" style="219" customWidth="1"/>
    <col min="7" max="7" width="14.5546875" style="219" customWidth="1"/>
    <col min="8" max="8" width="14.109375" style="219" customWidth="1"/>
    <col min="9" max="9" width="17.33203125" style="219" customWidth="1"/>
    <col min="10" max="10" width="16.6640625" style="219" customWidth="1"/>
    <col min="11" max="11" width="12.109375" style="219" customWidth="1"/>
    <col min="12" max="16384" width="11.44140625" style="219"/>
  </cols>
  <sheetData>
    <row r="1" spans="2:11" ht="47.25" customHeight="1">
      <c r="B1" s="216" t="s">
        <v>37</v>
      </c>
      <c r="C1" s="217"/>
      <c r="D1" s="217"/>
      <c r="E1" s="217"/>
      <c r="F1" s="217"/>
      <c r="G1" s="217"/>
      <c r="H1" s="217"/>
      <c r="I1" s="217"/>
      <c r="J1" s="218"/>
    </row>
    <row r="2" spans="2:11" ht="16.2" customHeight="1">
      <c r="B2" s="220" t="s">
        <v>39</v>
      </c>
      <c r="C2" s="221" t="s">
        <v>291</v>
      </c>
      <c r="D2" s="222"/>
      <c r="E2" s="223"/>
      <c r="F2" s="217"/>
      <c r="G2" s="217"/>
      <c r="H2" s="217"/>
      <c r="I2" s="217"/>
    </row>
    <row r="3" spans="2:11" ht="18.75" customHeight="1">
      <c r="B3" s="220" t="s">
        <v>23</v>
      </c>
      <c r="C3" s="221" t="s">
        <v>521</v>
      </c>
      <c r="D3" s="222"/>
      <c r="E3" s="223"/>
      <c r="F3" s="217"/>
      <c r="G3" s="217"/>
      <c r="H3" s="217"/>
      <c r="I3" s="217"/>
    </row>
    <row r="4" spans="2:11" ht="18.75" customHeight="1">
      <c r="B4" s="224"/>
      <c r="C4" s="217"/>
      <c r="D4" s="217"/>
      <c r="F4" s="217"/>
      <c r="G4" s="217"/>
      <c r="H4" s="434" t="s">
        <v>287</v>
      </c>
      <c r="I4" s="434"/>
      <c r="J4" s="434"/>
    </row>
    <row r="5" spans="2:11" ht="19.95" customHeight="1">
      <c r="B5" s="220" t="s">
        <v>265</v>
      </c>
      <c r="C5" s="225"/>
      <c r="D5" s="226">
        <v>50</v>
      </c>
      <c r="E5" s="227"/>
      <c r="F5" s="228"/>
      <c r="G5" s="229"/>
      <c r="H5" s="435" t="s">
        <v>266</v>
      </c>
      <c r="I5" s="428"/>
      <c r="J5" s="428"/>
    </row>
    <row r="6" spans="2:11" ht="19.95" customHeight="1">
      <c r="B6" s="220" t="s">
        <v>267</v>
      </c>
      <c r="C6" s="225"/>
      <c r="D6" s="230">
        <v>0.2</v>
      </c>
      <c r="E6" s="227"/>
      <c r="F6" s="228"/>
      <c r="G6" s="229"/>
      <c r="H6" s="428"/>
      <c r="I6" s="428"/>
      <c r="J6" s="428"/>
    </row>
    <row r="7" spans="2:11" ht="19.95" customHeight="1">
      <c r="B7" s="220" t="s">
        <v>35</v>
      </c>
      <c r="C7" s="225"/>
      <c r="D7" s="965">
        <f>D5/D6</f>
        <v>250</v>
      </c>
      <c r="E7" s="227"/>
      <c r="F7" s="228"/>
      <c r="G7" s="229"/>
      <c r="H7" s="428"/>
      <c r="I7" s="428"/>
      <c r="J7" s="428"/>
    </row>
    <row r="8" spans="2:11" ht="19.95" customHeight="1">
      <c r="B8" s="220" t="s">
        <v>36</v>
      </c>
      <c r="C8" s="225"/>
      <c r="D8" s="230">
        <v>225</v>
      </c>
      <c r="E8" s="227"/>
      <c r="F8" s="228"/>
      <c r="G8" s="229"/>
      <c r="H8" s="428" t="s">
        <v>268</v>
      </c>
      <c r="I8" s="428"/>
      <c r="J8" s="428"/>
    </row>
    <row r="9" spans="2:11" ht="19.95" customHeight="1">
      <c r="B9" s="220" t="s">
        <v>34</v>
      </c>
      <c r="C9" s="225"/>
      <c r="D9" s="4">
        <f>1-(D8/D7)</f>
        <v>9.9999999999999978E-2</v>
      </c>
      <c r="E9" s="227"/>
      <c r="F9" s="228"/>
      <c r="G9" s="229"/>
      <c r="H9" s="428" t="s">
        <v>269</v>
      </c>
      <c r="I9" s="428"/>
      <c r="J9" s="428"/>
    </row>
    <row r="10" spans="2:11" ht="19.95" customHeight="1">
      <c r="B10" s="220" t="s">
        <v>25</v>
      </c>
      <c r="C10" s="225"/>
      <c r="D10" s="231">
        <v>4.0599999999999996</v>
      </c>
      <c r="E10" s="220" t="s">
        <v>32</v>
      </c>
      <c r="F10" s="232"/>
      <c r="G10" s="966">
        <f>G12/(1+G11)</f>
        <v>4.6698113207547172</v>
      </c>
      <c r="H10" s="428"/>
      <c r="I10" s="428"/>
      <c r="J10" s="428"/>
    </row>
    <row r="11" spans="2:11" ht="19.95" customHeight="1">
      <c r="B11" s="220" t="s">
        <v>3</v>
      </c>
      <c r="C11" s="225"/>
      <c r="D11" s="233">
        <v>0.06</v>
      </c>
      <c r="E11" s="220" t="s">
        <v>3</v>
      </c>
      <c r="F11" s="232"/>
      <c r="G11" s="234">
        <v>0.06</v>
      </c>
      <c r="H11" s="428"/>
      <c r="I11" s="428"/>
      <c r="J11" s="428"/>
    </row>
    <row r="12" spans="2:11" ht="19.95" customHeight="1">
      <c r="B12" s="220" t="s">
        <v>33</v>
      </c>
      <c r="C12" s="225"/>
      <c r="D12" s="967">
        <f>D10*(1+D11)</f>
        <v>4.3035999999999994</v>
      </c>
      <c r="E12" s="220" t="s">
        <v>24</v>
      </c>
      <c r="F12" s="232"/>
      <c r="G12" s="235">
        <v>4.95</v>
      </c>
      <c r="H12" s="428"/>
      <c r="I12" s="428"/>
      <c r="J12" s="428"/>
    </row>
    <row r="13" spans="2:11" ht="19.95" customHeight="1">
      <c r="B13" s="220" t="s">
        <v>270</v>
      </c>
      <c r="C13" s="225"/>
      <c r="D13" s="4">
        <f>G10/D10-1</f>
        <v>0.15019983269820636</v>
      </c>
      <c r="E13" s="236"/>
      <c r="F13" s="236"/>
      <c r="G13" s="236"/>
      <c r="H13" s="428" t="s">
        <v>271</v>
      </c>
      <c r="I13" s="428"/>
      <c r="J13" s="428"/>
    </row>
    <row r="14" spans="2:11" ht="18.75" customHeight="1">
      <c r="B14" s="236"/>
      <c r="C14" s="236"/>
      <c r="D14" s="236"/>
      <c r="E14" s="236"/>
      <c r="F14" s="236"/>
      <c r="G14" s="236"/>
      <c r="H14" s="236"/>
      <c r="I14" s="236"/>
    </row>
    <row r="15" spans="2:11" ht="6.75" customHeight="1" thickBot="1"/>
    <row r="16" spans="2:11" s="951" customFormat="1" ht="45" customHeight="1">
      <c r="B16" s="237" t="s">
        <v>4</v>
      </c>
      <c r="C16" s="238" t="s">
        <v>5</v>
      </c>
      <c r="D16" s="239" t="s">
        <v>6</v>
      </c>
      <c r="E16" s="239" t="s">
        <v>7</v>
      </c>
      <c r="F16" s="239" t="s">
        <v>8</v>
      </c>
      <c r="G16" s="239" t="s">
        <v>281</v>
      </c>
      <c r="H16" s="240" t="s">
        <v>30</v>
      </c>
      <c r="I16" s="429" t="s">
        <v>22</v>
      </c>
      <c r="J16" s="429"/>
      <c r="K16" s="430"/>
    </row>
    <row r="17" spans="2:11" s="252" customFormat="1" ht="17.25" customHeight="1">
      <c r="B17" s="208" t="s">
        <v>14</v>
      </c>
      <c r="C17" s="968" t="str">
        <f>IF(ISBLANK(B17),"",_xlfn.XLOOKUP(B17,tblIngredients[Article],tblIngredients[Fournisseur],""))</f>
        <v>Auto</v>
      </c>
      <c r="D17" s="969" t="str">
        <f>IF(ISBLANK(B17),"",_xlfn.XLOOKUP(B17,tblIngredients[Article],tblIngredients[Unité conditionnement],""))</f>
        <v>1 kg</v>
      </c>
      <c r="E17" s="970">
        <f>IF(ISBLANK(B17),"",_xlfn.XLOOKUP(B17,tblIngredients[Article],tblIngredients[Coût d''achat HTVA  à l''unité],""))</f>
        <v>3.5</v>
      </c>
      <c r="F17" s="241">
        <v>50</v>
      </c>
      <c r="G17" s="971">
        <f>IF(OR(F17="",ISBLANK(F17)),"",E17*F17)</f>
        <v>175</v>
      </c>
      <c r="H17" s="5">
        <f>IF(OR(G17="",ISBLANK(G17)),"",G17/G$33)</f>
        <v>0.92115565556674106</v>
      </c>
      <c r="I17" s="242" t="s">
        <v>272</v>
      </c>
      <c r="J17" s="243"/>
      <c r="K17" s="244"/>
    </row>
    <row r="18" spans="2:11" s="252" customFormat="1" ht="17.25" customHeight="1">
      <c r="B18" s="208" t="s">
        <v>15</v>
      </c>
      <c r="C18" s="968" t="str">
        <f>IF(ISBLANK(B18),"",_xlfn.XLOOKUP(B18,tblIngredients[Article],tblIngredients[Fournisseur],""))</f>
        <v>Inbterbio</v>
      </c>
      <c r="D18" s="969" t="str">
        <f>IF(ISBLANK(B18),"",_xlfn.XLOOKUP(B18,tblIngredients[Article],tblIngredients[Unité conditionnement],""))</f>
        <v>1 kg</v>
      </c>
      <c r="E18" s="970">
        <f>IF(ISBLANK(B18),"",_xlfn.XLOOKUP(B18,tblIngredients[Article],tblIngredients[Coût d''achat HTVA  à l''unité],""))</f>
        <v>6</v>
      </c>
      <c r="F18" s="241">
        <v>0.5</v>
      </c>
      <c r="G18" s="971">
        <f t="shared" ref="G18:G32" si="0">IF(OR(F18="",ISBLANK(F18)),"",E18*F18)</f>
        <v>3</v>
      </c>
      <c r="H18" s="5">
        <f t="shared" ref="H18:H32" si="1">IF(OR(G18="",ISBLANK(G18)),"",G18/G$33)</f>
        <v>1.5791239809715561E-2</v>
      </c>
      <c r="I18" s="245"/>
      <c r="J18" s="243"/>
      <c r="K18" s="244"/>
    </row>
    <row r="19" spans="2:11" s="252" customFormat="1" ht="17.25" customHeight="1">
      <c r="B19" s="208" t="s">
        <v>16</v>
      </c>
      <c r="C19" s="968" t="str">
        <f>IF(ISBLANK(B19),"",_xlfn.XLOOKUP(B19,tblIngredients[Article],tblIngredients[Fournisseur],""))</f>
        <v>Interbio</v>
      </c>
      <c r="D19" s="969" t="str">
        <f>IF(ISBLANK(B19),"",_xlfn.XLOOKUP(B19,tblIngredients[Article],tblIngredients[Unité conditionnement],""))</f>
        <v>1 Botte</v>
      </c>
      <c r="E19" s="970">
        <f>IF(ISBLANK(B19),"",_xlfn.XLOOKUP(B19,tblIngredients[Article],tblIngredients[Coût d''achat HTVA  à l''unité],""))</f>
        <v>1.89</v>
      </c>
      <c r="F19" s="241">
        <v>4</v>
      </c>
      <c r="G19" s="971">
        <f t="shared" si="0"/>
        <v>7.56</v>
      </c>
      <c r="H19" s="5">
        <f t="shared" si="1"/>
        <v>3.9793924320483211E-2</v>
      </c>
      <c r="I19" s="245"/>
      <c r="J19" s="243"/>
      <c r="K19" s="244"/>
    </row>
    <row r="20" spans="2:11" s="252" customFormat="1" ht="17.25" customHeight="1">
      <c r="B20" s="208" t="s">
        <v>17</v>
      </c>
      <c r="C20" s="968" t="str">
        <f>IF(ISBLANK(B20),"",_xlfn.XLOOKUP(B20,tblIngredients[Article],tblIngredients[Fournisseur],""))</f>
        <v>Solucious</v>
      </c>
      <c r="D20" s="969" t="str">
        <f>IF(ISBLANK(B20),"",_xlfn.XLOOKUP(B20,tblIngredients[Article],tblIngredients[Unité conditionnement],""))</f>
        <v>1 L</v>
      </c>
      <c r="E20" s="970">
        <f>IF(ISBLANK(B20),"",_xlfn.XLOOKUP(B20,tblIngredients[Article],tblIngredients[Coût d''achat HTVA  à l''unité],""))</f>
        <v>17.649999999999999</v>
      </c>
      <c r="F20" s="241">
        <v>0.25</v>
      </c>
      <c r="G20" s="971">
        <f t="shared" si="0"/>
        <v>4.4124999999999996</v>
      </c>
      <c r="H20" s="5">
        <f t="shared" si="1"/>
        <v>2.3226281886789969E-2</v>
      </c>
      <c r="I20" s="245"/>
      <c r="J20" s="243"/>
      <c r="K20" s="244"/>
    </row>
    <row r="21" spans="2:11" s="252" customFormat="1" ht="17.25" customHeight="1">
      <c r="B21" s="208" t="s">
        <v>359</v>
      </c>
      <c r="C21" s="968" t="str">
        <f>IF(ISBLANK(B21),"",_xlfn.XLOOKUP(B21,tblIngredients[Article],tblIngredients[Fournisseur],""))</f>
        <v>Solucious</v>
      </c>
      <c r="D21" s="969" t="str">
        <f>IF(ISBLANK(B21),"",_xlfn.XLOOKUP(B21,tblIngredients[Article],tblIngredients[Unité conditionnement],""))</f>
        <v>1 Kg</v>
      </c>
      <c r="E21" s="970">
        <f>IF(ISBLANK(B21),"",_xlfn.XLOOKUP(B21,tblIngredients[Article],tblIngredients[Coût d''achat HTVA  à l''unité],""))</f>
        <v>6.25</v>
      </c>
      <c r="F21" s="241">
        <v>1E-3</v>
      </c>
      <c r="G21" s="971">
        <f t="shared" si="0"/>
        <v>6.2500000000000003E-3</v>
      </c>
      <c r="H21" s="5">
        <f t="shared" si="1"/>
        <v>3.2898416270240753E-5</v>
      </c>
      <c r="I21" s="245"/>
      <c r="J21" s="243"/>
      <c r="K21" s="244"/>
    </row>
    <row r="22" spans="2:11" s="252" customFormat="1" ht="17.25" customHeight="1">
      <c r="B22" s="208"/>
      <c r="C22" s="968" t="str">
        <f>IF(ISBLANK(B22),"",_xlfn.XLOOKUP(B22,tblIngredients[Article],tblIngredients[Fournisseur],""))</f>
        <v/>
      </c>
      <c r="D22" s="969" t="str">
        <f>IF(ISBLANK(B22),"",_xlfn.XLOOKUP(B22,tblIngredients[Article],tblIngredients[Unité conditionnement],""))</f>
        <v/>
      </c>
      <c r="E22" s="970" t="str">
        <f>IF(ISBLANK(B22),"",_xlfn.XLOOKUP(B22,tblIngredients[Article],tblIngredients[Coût d''achat HTVA  à l''unité],""))</f>
        <v/>
      </c>
      <c r="F22" s="241"/>
      <c r="G22" s="971" t="str">
        <f t="shared" si="0"/>
        <v/>
      </c>
      <c r="H22" s="5" t="str">
        <f t="shared" si="1"/>
        <v/>
      </c>
      <c r="I22" s="245"/>
      <c r="J22" s="243"/>
      <c r="K22" s="244"/>
    </row>
    <row r="23" spans="2:11" s="252" customFormat="1" ht="17.25" customHeight="1">
      <c r="B23" s="208"/>
      <c r="C23" s="968" t="str">
        <f>IF(ISBLANK(B23),"",_xlfn.XLOOKUP(B23,tblIngredients[Article],tblIngredients[Fournisseur],""))</f>
        <v/>
      </c>
      <c r="D23" s="969" t="str">
        <f>IF(ISBLANK(B23),"",_xlfn.XLOOKUP(B23,tblIngredients[Article],tblIngredients[Unité conditionnement],""))</f>
        <v/>
      </c>
      <c r="E23" s="970" t="str">
        <f>IF(ISBLANK(B23),"",_xlfn.XLOOKUP(B23,tblIngredients[Article],tblIngredients[Coût d''achat HTVA  à l''unité],""))</f>
        <v/>
      </c>
      <c r="F23" s="241"/>
      <c r="G23" s="971" t="str">
        <f t="shared" si="0"/>
        <v/>
      </c>
      <c r="H23" s="5" t="str">
        <f t="shared" si="1"/>
        <v/>
      </c>
      <c r="I23" s="245"/>
      <c r="J23" s="243"/>
      <c r="K23" s="244"/>
    </row>
    <row r="24" spans="2:11" s="252" customFormat="1" ht="17.25" customHeight="1">
      <c r="B24" s="208"/>
      <c r="C24" s="968" t="str">
        <f>IF(ISBLANK(B24),"",_xlfn.XLOOKUP(B24,tblIngredients[Article],tblIngredients[Fournisseur],""))</f>
        <v/>
      </c>
      <c r="D24" s="969" t="str">
        <f>IF(ISBLANK(B24),"",_xlfn.XLOOKUP(B24,tblIngredients[Article],tblIngredients[Unité conditionnement],""))</f>
        <v/>
      </c>
      <c r="E24" s="970" t="str">
        <f>IF(ISBLANK(B24),"",_xlfn.XLOOKUP(B24,tblIngredients[Article],tblIngredients[Coût d''achat HTVA  à l''unité],""))</f>
        <v/>
      </c>
      <c r="F24" s="241"/>
      <c r="G24" s="971" t="str">
        <f t="shared" si="0"/>
        <v/>
      </c>
      <c r="H24" s="5" t="str">
        <f t="shared" si="1"/>
        <v/>
      </c>
      <c r="I24" s="245"/>
      <c r="J24" s="243"/>
      <c r="K24" s="244"/>
    </row>
    <row r="25" spans="2:11" s="252" customFormat="1" ht="17.25" customHeight="1">
      <c r="B25" s="208"/>
      <c r="C25" s="968" t="str">
        <f>IF(ISBLANK(B25),"",_xlfn.XLOOKUP(B25,tblIngredients[Article],tblIngredients[Fournisseur],""))</f>
        <v/>
      </c>
      <c r="D25" s="969" t="str">
        <f>IF(ISBLANK(B25),"",_xlfn.XLOOKUP(B25,tblIngredients[Article],tblIngredients[Unité conditionnement],""))</f>
        <v/>
      </c>
      <c r="E25" s="970" t="str">
        <f>IF(ISBLANK(B25),"",_xlfn.XLOOKUP(B25,tblIngredients[Article],tblIngredients[Coût d''achat HTVA  à l''unité],""))</f>
        <v/>
      </c>
      <c r="F25" s="241"/>
      <c r="G25" s="971" t="str">
        <f t="shared" si="0"/>
        <v/>
      </c>
      <c r="H25" s="5" t="str">
        <f t="shared" si="1"/>
        <v/>
      </c>
      <c r="I25" s="245"/>
      <c r="J25" s="243"/>
      <c r="K25" s="244"/>
    </row>
    <row r="26" spans="2:11" s="252" customFormat="1" ht="17.25" customHeight="1">
      <c r="B26" s="208"/>
      <c r="C26" s="968" t="str">
        <f>IF(ISBLANK(B26),"",_xlfn.XLOOKUP(B26,tblIngredients[Article],tblIngredients[Fournisseur],""))</f>
        <v/>
      </c>
      <c r="D26" s="969" t="str">
        <f>IF(ISBLANK(B26),"",_xlfn.XLOOKUP(B26,tblIngredients[Article],tblIngredients[Unité conditionnement],""))</f>
        <v/>
      </c>
      <c r="E26" s="970" t="str">
        <f>IF(ISBLANK(B26),"",_xlfn.XLOOKUP(B26,tblIngredients[Article],tblIngredients[Coût d''achat HTVA  à l''unité],""))</f>
        <v/>
      </c>
      <c r="F26" s="241"/>
      <c r="G26" s="971" t="str">
        <f t="shared" si="0"/>
        <v/>
      </c>
      <c r="H26" s="5" t="str">
        <f t="shared" si="1"/>
        <v/>
      </c>
      <c r="I26" s="245"/>
      <c r="J26" s="243"/>
      <c r="K26" s="244"/>
    </row>
    <row r="27" spans="2:11" s="252" customFormat="1" ht="17.25" customHeight="1">
      <c r="B27" s="208"/>
      <c r="C27" s="968" t="str">
        <f>IF(ISBLANK(B27),"",_xlfn.XLOOKUP(B27,tblIngredients[Article],tblIngredients[Fournisseur],""))</f>
        <v/>
      </c>
      <c r="D27" s="969" t="str">
        <f>IF(ISBLANK(B27),"",_xlfn.XLOOKUP(B27,tblIngredients[Article],tblIngredients[Unité conditionnement],""))</f>
        <v/>
      </c>
      <c r="E27" s="970" t="str">
        <f>IF(ISBLANK(B27),"",_xlfn.XLOOKUP(B27,tblIngredients[Article],tblIngredients[Coût d''achat HTVA  à l''unité],""))</f>
        <v/>
      </c>
      <c r="F27" s="241"/>
      <c r="G27" s="971" t="str">
        <f t="shared" si="0"/>
        <v/>
      </c>
      <c r="H27" s="5" t="str">
        <f t="shared" si="1"/>
        <v/>
      </c>
      <c r="I27" s="245"/>
      <c r="J27" s="243"/>
      <c r="K27" s="244"/>
    </row>
    <row r="28" spans="2:11" s="252" customFormat="1" ht="17.25" customHeight="1">
      <c r="B28" s="208"/>
      <c r="C28" s="968"/>
      <c r="D28" s="969"/>
      <c r="E28" s="970"/>
      <c r="F28" s="241"/>
      <c r="G28" s="971"/>
      <c r="H28" s="5"/>
      <c r="I28" s="245"/>
      <c r="J28" s="243"/>
      <c r="K28" s="244"/>
    </row>
    <row r="29" spans="2:11" s="252" customFormat="1" ht="17.25" customHeight="1">
      <c r="B29" s="208"/>
      <c r="C29" s="968" t="str">
        <f>IF(ISBLANK(B29),"",_xlfn.XLOOKUP(B29,tblIngredients[Article],tblIngredients[Fournisseur],""))</f>
        <v/>
      </c>
      <c r="D29" s="969" t="str">
        <f>IF(ISBLANK(B29),"",_xlfn.XLOOKUP(B29,tblIngredients[Article],tblIngredients[Unité conditionnement],""))</f>
        <v/>
      </c>
      <c r="E29" s="970" t="str">
        <f>IF(ISBLANK(B29),"",_xlfn.XLOOKUP(B29,tblIngredients[Article],tblIngredients[Coût d''achat HTVA  à l''unité],""))</f>
        <v/>
      </c>
      <c r="F29" s="241"/>
      <c r="G29" s="971" t="str">
        <f t="shared" si="0"/>
        <v/>
      </c>
      <c r="H29" s="5" t="str">
        <f t="shared" si="1"/>
        <v/>
      </c>
      <c r="I29" s="245"/>
      <c r="J29" s="243"/>
      <c r="K29" s="244"/>
    </row>
    <row r="30" spans="2:11" s="252" customFormat="1" ht="17.25" customHeight="1">
      <c r="B30" s="208"/>
      <c r="C30" s="968" t="str">
        <f>IF(ISBLANK(B30),"",_xlfn.XLOOKUP(B30,tblIngredients[Article],tblIngredients[Fournisseur],""))</f>
        <v/>
      </c>
      <c r="D30" s="969" t="str">
        <f>IF(ISBLANK(B30),"",_xlfn.XLOOKUP(B30,tblIngredients[Article],tblIngredients[Unité conditionnement],""))</f>
        <v/>
      </c>
      <c r="E30" s="970" t="str">
        <f>IF(ISBLANK(B30),"",_xlfn.XLOOKUP(B30,tblIngredients[Article],tblIngredients[Coût d''achat HTVA  à l''unité],""))</f>
        <v/>
      </c>
      <c r="F30" s="241"/>
      <c r="G30" s="971" t="str">
        <f t="shared" si="0"/>
        <v/>
      </c>
      <c r="H30" s="5" t="str">
        <f t="shared" si="1"/>
        <v/>
      </c>
      <c r="I30" s="245"/>
      <c r="J30" s="243"/>
      <c r="K30" s="244"/>
    </row>
    <row r="31" spans="2:11" s="252" customFormat="1" ht="17.25" customHeight="1">
      <c r="B31" s="208"/>
      <c r="C31" s="968" t="str">
        <f>IF(ISBLANK(B31),"",_xlfn.XLOOKUP(B31,tblIngredients[Article],tblIngredients[Fournisseur],""))</f>
        <v/>
      </c>
      <c r="D31" s="969" t="str">
        <f>IF(ISBLANK(B31),"",_xlfn.XLOOKUP(B31,tblIngredients[Article],tblIngredients[Unité conditionnement],""))</f>
        <v/>
      </c>
      <c r="E31" s="970" t="str">
        <f>IF(ISBLANK(B31),"",_xlfn.XLOOKUP(B31,tblIngredients[Article],tblIngredients[Coût d''achat HTVA  à l''unité],""))</f>
        <v/>
      </c>
      <c r="F31" s="241"/>
      <c r="G31" s="971" t="str">
        <f t="shared" si="0"/>
        <v/>
      </c>
      <c r="H31" s="5" t="str">
        <f t="shared" si="1"/>
        <v/>
      </c>
      <c r="I31" s="245"/>
      <c r="J31" s="243"/>
      <c r="K31" s="244"/>
    </row>
    <row r="32" spans="2:11" s="252" customFormat="1" ht="17.25" customHeight="1">
      <c r="B32" s="208"/>
      <c r="C32" s="968" t="str">
        <f>IF(ISBLANK(B32),"",_xlfn.XLOOKUP(B32,tblIngredients[Article],tblIngredients[Fournisseur],""))</f>
        <v/>
      </c>
      <c r="D32" s="969" t="str">
        <f>IF(ISBLANK(B32),"",_xlfn.XLOOKUP(B32,tblIngredients[Article],tblIngredients[Unité conditionnement],""))</f>
        <v/>
      </c>
      <c r="E32" s="970" t="str">
        <f>IF(ISBLANK(B32),"",_xlfn.XLOOKUP(B32,tblIngredients[Article],tblIngredients[Coût d''achat HTVA  à l''unité],""))</f>
        <v/>
      </c>
      <c r="F32" s="241"/>
      <c r="G32" s="971" t="str">
        <f t="shared" si="0"/>
        <v/>
      </c>
      <c r="H32" s="5" t="str">
        <f t="shared" si="1"/>
        <v/>
      </c>
      <c r="I32" s="245"/>
      <c r="J32" s="243"/>
      <c r="K32" s="244"/>
    </row>
    <row r="33" spans="2:11" s="252" customFormat="1" ht="17.25" customHeight="1">
      <c r="B33" s="952" t="s">
        <v>29</v>
      </c>
      <c r="C33" s="952"/>
      <c r="D33" s="952"/>
      <c r="E33" s="952"/>
      <c r="F33" s="952"/>
      <c r="G33" s="953">
        <f>SUM(G17:G32)</f>
        <v>189.97874999999999</v>
      </c>
      <c r="H33" s="954">
        <f>IF(G33="","",G33/G$45)</f>
        <v>0.72032302138783477</v>
      </c>
      <c r="I33" s="955"/>
      <c r="J33" s="956"/>
      <c r="K33" s="957"/>
    </row>
    <row r="34" spans="2:11" s="252" customFormat="1" ht="17.25" customHeight="1">
      <c r="B34" s="208" t="s">
        <v>19</v>
      </c>
      <c r="C34" s="968" t="str">
        <f>IF(ISBLANK(B34),"",_xlfn.XLOOKUP(B34,tblConsommables[Article],tblConsommables[Fournisseur],""))</f>
        <v>Grossiste</v>
      </c>
      <c r="D34" s="969" t="str">
        <f>IF(ISBLANK(B34),"",_xlfn.XLOOKUP(B34,tblConsommables[Article],tblConsommables[Unité conditionnement],""))</f>
        <v>Unité</v>
      </c>
      <c r="E34" s="970">
        <f>IF(ISBLANK(B34),"",_xlfn.XLOOKUP(B34,tblConsommables[Article],tblConsommables[Coût d''achat HTVA  à l''unité],""))</f>
        <v>0.154</v>
      </c>
      <c r="F34" s="246">
        <v>230</v>
      </c>
      <c r="G34" s="972">
        <f>IF(OR(F34="",ISBLANK(F34)),"",E34*F34)</f>
        <v>35.42</v>
      </c>
      <c r="H34" s="6">
        <f>IF(OR(G34="",ISBLANK(G34)),"",G34/G$43)</f>
        <v>0.48988285410010646</v>
      </c>
      <c r="I34" s="245"/>
      <c r="J34" s="243"/>
      <c r="K34" s="247"/>
    </row>
    <row r="35" spans="2:11" s="252" customFormat="1" ht="17.25" customHeight="1">
      <c r="B35" s="208" t="s">
        <v>38</v>
      </c>
      <c r="C35" s="968" t="str">
        <f>IF(ISBLANK(B35),"",_xlfn.XLOOKUP(B35,tblConsommables[Article],tblConsommables[Fournisseur],""))</f>
        <v>Grossiste</v>
      </c>
      <c r="D35" s="969" t="str">
        <f>IF(ISBLANK(B35),"",_xlfn.XLOOKUP(B35,tblConsommables[Article],tblConsommables[Unité conditionnement],""))</f>
        <v>Unité</v>
      </c>
      <c r="E35" s="970">
        <f>IF(ISBLANK(B35),"",_xlfn.XLOOKUP(B35,tblConsommables[Article],tblConsommables[Coût d''achat HTVA  à l''unité],""))</f>
        <v>0.12</v>
      </c>
      <c r="F35" s="246">
        <v>250</v>
      </c>
      <c r="G35" s="972">
        <f t="shared" ref="G35:G42" si="2">IF(OR(F35="",ISBLANK(F35)),"",E35*F35)</f>
        <v>30</v>
      </c>
      <c r="H35" s="6">
        <f t="shared" ref="H35:H42" si="3">IF(OR(G35="",ISBLANK(G35)),"",G35/G$43)</f>
        <v>0.41492054271606982</v>
      </c>
      <c r="I35" s="245"/>
      <c r="J35" s="243"/>
      <c r="K35" s="247"/>
    </row>
    <row r="36" spans="2:11" s="252" customFormat="1" ht="17.25" customHeight="1">
      <c r="B36" s="208" t="s">
        <v>27</v>
      </c>
      <c r="C36" s="968" t="str">
        <f>IF(ISBLANK(B36),"",_xlfn.XLOOKUP(B36,tblConsommables[Article],tblConsommables[Fournisseur],""))</f>
        <v>Grossiste</v>
      </c>
      <c r="D36" s="969" t="str">
        <f>IF(ISBLANK(B36),"",_xlfn.XLOOKUP(B36,tblConsommables[Article],tblConsommables[Unité conditionnement],""))</f>
        <v>Rack de 1000</v>
      </c>
      <c r="E36" s="970">
        <f>IF(ISBLANK(B36),"",_xlfn.XLOOKUP(B36,tblConsommables[Article],tblConsommables[Coût d''achat HTVA  à l''unité],""))</f>
        <v>27.3</v>
      </c>
      <c r="F36" s="246">
        <v>0.25</v>
      </c>
      <c r="G36" s="972">
        <f t="shared" si="2"/>
        <v>6.8250000000000002</v>
      </c>
      <c r="H36" s="6">
        <f t="shared" si="3"/>
        <v>9.4394423467905886E-2</v>
      </c>
      <c r="I36" s="245"/>
      <c r="J36" s="243"/>
      <c r="K36" s="247"/>
    </row>
    <row r="37" spans="2:11" s="252" customFormat="1" ht="17.25" customHeight="1">
      <c r="B37" s="208" t="s">
        <v>370</v>
      </c>
      <c r="C37" s="968" t="str">
        <f>IF(ISBLANK(B37),"",_xlfn.XLOOKUP(B37,tblConsommables[Article],tblConsommables[Fournisseur],""))</f>
        <v>Grossiste</v>
      </c>
      <c r="D37" s="969" t="str">
        <f>IF(ISBLANK(B37),"",_xlfn.XLOOKUP(B37,tblConsommables[Article],tblConsommables[Unité conditionnement],""))</f>
        <v>Rack de 1000</v>
      </c>
      <c r="E37" s="970">
        <f>IF(ISBLANK(B37),"",_xlfn.XLOOKUP(B37,tblConsommables[Article],tblConsommables[Coût d''achat HTVA  à l''unité],""))</f>
        <v>58</v>
      </c>
      <c r="F37" s="246">
        <v>1E-3</v>
      </c>
      <c r="G37" s="972">
        <f t="shared" si="2"/>
        <v>5.8000000000000003E-2</v>
      </c>
      <c r="H37" s="6">
        <f t="shared" si="3"/>
        <v>8.0217971591773501E-4</v>
      </c>
      <c r="I37" s="245"/>
      <c r="J37" s="243"/>
      <c r="K37" s="247"/>
    </row>
    <row r="38" spans="2:11" s="252" customFormat="1" ht="17.25" customHeight="1">
      <c r="B38" s="208"/>
      <c r="C38" s="968" t="str">
        <f>IF(ISBLANK(B38),"",_xlfn.XLOOKUP(B38,tblConsommables[Article],tblConsommables[Fournisseur],""))</f>
        <v/>
      </c>
      <c r="D38" s="969" t="str">
        <f>IF(ISBLANK(B38),"",_xlfn.XLOOKUP(B38,tblConsommables[Article],tblConsommables[Unité conditionnement],""))</f>
        <v/>
      </c>
      <c r="E38" s="970" t="str">
        <f>IF(ISBLANK(B38),"",_xlfn.XLOOKUP(B38,tblConsommables[Article],tblConsommables[Coût d''achat HTVA  à l''unité],""))</f>
        <v/>
      </c>
      <c r="F38" s="246"/>
      <c r="G38" s="972" t="str">
        <f t="shared" si="2"/>
        <v/>
      </c>
      <c r="H38" s="6" t="str">
        <f t="shared" si="3"/>
        <v/>
      </c>
      <c r="I38" s="245"/>
      <c r="J38" s="243"/>
      <c r="K38" s="247"/>
    </row>
    <row r="39" spans="2:11" s="252" customFormat="1" ht="17.25" customHeight="1">
      <c r="B39" s="208"/>
      <c r="C39" s="968" t="str">
        <f>IF(ISBLANK(B39),"",_xlfn.XLOOKUP(B39,tblConsommables[Article],tblConsommables[Fournisseur],""))</f>
        <v/>
      </c>
      <c r="D39" s="969" t="str">
        <f>IF(ISBLANK(B39),"",_xlfn.XLOOKUP(B39,tblConsommables[Article],tblConsommables[Unité conditionnement],""))</f>
        <v/>
      </c>
      <c r="E39" s="970" t="str">
        <f>IF(ISBLANK(B39),"",_xlfn.XLOOKUP(B39,tblConsommables[Article],tblConsommables[Coût d''achat HTVA  à l''unité],""))</f>
        <v/>
      </c>
      <c r="F39" s="246"/>
      <c r="G39" s="972" t="str">
        <f t="shared" si="2"/>
        <v/>
      </c>
      <c r="H39" s="6" t="str">
        <f t="shared" si="3"/>
        <v/>
      </c>
      <c r="I39" s="245"/>
      <c r="J39" s="243"/>
      <c r="K39" s="247"/>
    </row>
    <row r="40" spans="2:11" s="252" customFormat="1" ht="17.25" customHeight="1">
      <c r="B40" s="208"/>
      <c r="C40" s="968" t="str">
        <f>IF(ISBLANK(B40),"",_xlfn.XLOOKUP(B40,tblConsommables[Article],tblConsommables[Fournisseur],""))</f>
        <v/>
      </c>
      <c r="D40" s="969" t="str">
        <f>IF(ISBLANK(B40),"",_xlfn.XLOOKUP(B40,tblConsommables[Article],tblConsommables[Unité conditionnement],""))</f>
        <v/>
      </c>
      <c r="E40" s="970" t="str">
        <f>IF(ISBLANK(B40),"",_xlfn.XLOOKUP(B40,tblConsommables[Article],tblConsommables[Coût d''achat HTVA  à l''unité],""))</f>
        <v/>
      </c>
      <c r="F40" s="246"/>
      <c r="G40" s="972" t="str">
        <f t="shared" si="2"/>
        <v/>
      </c>
      <c r="H40" s="6" t="str">
        <f t="shared" si="3"/>
        <v/>
      </c>
      <c r="I40" s="245"/>
      <c r="J40" s="243"/>
      <c r="K40" s="247"/>
    </row>
    <row r="41" spans="2:11" s="252" customFormat="1" ht="17.25" customHeight="1">
      <c r="B41" s="208"/>
      <c r="C41" s="968" t="str">
        <f>IF(ISBLANK(B41),"",_xlfn.XLOOKUP(B41,tblConsommables[Article],tblConsommables[Fournisseur],""))</f>
        <v/>
      </c>
      <c r="D41" s="969" t="str">
        <f>IF(ISBLANK(B41),"",_xlfn.XLOOKUP(B41,tblConsommables[Article],tblConsommables[Unité conditionnement],""))</f>
        <v/>
      </c>
      <c r="E41" s="970" t="str">
        <f>IF(ISBLANK(B41),"",_xlfn.XLOOKUP(B41,tblConsommables[Article],tblConsommables[Coût d''achat HTVA  à l''unité],""))</f>
        <v/>
      </c>
      <c r="F41" s="246"/>
      <c r="G41" s="972" t="str">
        <f t="shared" si="2"/>
        <v/>
      </c>
      <c r="H41" s="6" t="str">
        <f t="shared" si="3"/>
        <v/>
      </c>
      <c r="I41" s="245"/>
      <c r="J41" s="243"/>
      <c r="K41" s="247"/>
    </row>
    <row r="42" spans="2:11" s="252" customFormat="1" ht="17.25" customHeight="1" thickBot="1">
      <c r="B42" s="208"/>
      <c r="C42" s="968" t="str">
        <f>IF(ISBLANK(B42),"",_xlfn.XLOOKUP(B42,tblConsommables[Article],tblConsommables[Fournisseur],""))</f>
        <v/>
      </c>
      <c r="D42" s="969" t="str">
        <f>IF(ISBLANK(B42),"",_xlfn.XLOOKUP(B42,tblConsommables[Article],tblConsommables[Unité conditionnement],""))</f>
        <v/>
      </c>
      <c r="E42" s="970" t="str">
        <f>IF(ISBLANK(B42),"",_xlfn.XLOOKUP(B42,tblConsommables[Article],tblConsommables[Coût d''achat HTVA  à l''unité],""))</f>
        <v/>
      </c>
      <c r="F42" s="248"/>
      <c r="G42" s="972" t="str">
        <f t="shared" si="2"/>
        <v/>
      </c>
      <c r="H42" s="6" t="str">
        <f t="shared" si="3"/>
        <v/>
      </c>
      <c r="I42" s="245"/>
      <c r="J42" s="243"/>
      <c r="K42" s="247"/>
    </row>
    <row r="43" spans="2:11" s="252" customFormat="1" ht="17.25" customHeight="1" thickBot="1">
      <c r="B43" s="958" t="s">
        <v>31</v>
      </c>
      <c r="C43" s="959"/>
      <c r="D43" s="959"/>
      <c r="E43" s="959"/>
      <c r="F43" s="959"/>
      <c r="G43" s="960">
        <f>SUM(G34:G42)</f>
        <v>72.303000000000011</v>
      </c>
      <c r="H43" s="961">
        <f>IF(G43="","",G43/G$45)</f>
        <v>0.27414389985935073</v>
      </c>
      <c r="I43" s="962"/>
      <c r="J43" s="962"/>
      <c r="K43" s="962"/>
    </row>
    <row r="44" spans="2:11" s="252" customFormat="1" ht="17.25" customHeight="1">
      <c r="B44" s="958" t="s">
        <v>180</v>
      </c>
      <c r="C44" s="959"/>
      <c r="D44" s="959"/>
      <c r="E44" s="959"/>
      <c r="F44" s="959"/>
      <c r="G44" s="963">
        <f>J73</f>
        <v>1.4593</v>
      </c>
      <c r="H44" s="961">
        <f>IF(G44="","",G44/G$45)</f>
        <v>5.5330787528145515E-3</v>
      </c>
      <c r="I44" s="964"/>
      <c r="J44" s="962"/>
      <c r="K44" s="962"/>
    </row>
    <row r="45" spans="2:11" s="252" customFormat="1" ht="17.25" customHeight="1">
      <c r="B45" s="249" t="s">
        <v>273</v>
      </c>
      <c r="C45" s="250"/>
      <c r="D45" s="250"/>
      <c r="E45" s="250"/>
      <c r="F45" s="251"/>
      <c r="G45" s="973">
        <f>SUM(G33,G43,G44)</f>
        <v>263.74104999999997</v>
      </c>
      <c r="H45" s="7">
        <f>IF(G45="","",G45/G$45)</f>
        <v>1</v>
      </c>
    </row>
    <row r="46" spans="2:11" s="252" customFormat="1" ht="17.25" customHeight="1">
      <c r="B46" s="220" t="s">
        <v>274</v>
      </c>
      <c r="C46" s="253"/>
      <c r="D46" s="253"/>
      <c r="E46" s="253"/>
      <c r="F46" s="254"/>
      <c r="G46" s="973">
        <f>G45/D8</f>
        <v>1.1721824444444444</v>
      </c>
      <c r="H46" s="255"/>
    </row>
    <row r="47" spans="2:11" s="252" customFormat="1" ht="17.25" customHeight="1">
      <c r="H47" s="256"/>
    </row>
    <row r="48" spans="2:11" s="252" customFormat="1" ht="17.25" customHeight="1">
      <c r="B48" s="431" t="s">
        <v>275</v>
      </c>
      <c r="C48" s="432"/>
      <c r="D48" s="432"/>
      <c r="E48" s="432"/>
      <c r="F48" s="432"/>
      <c r="G48" s="433"/>
      <c r="H48" s="257"/>
      <c r="I48" s="431" t="s">
        <v>26</v>
      </c>
      <c r="J48" s="432"/>
      <c r="K48" s="433"/>
    </row>
    <row r="49" spans="2:17" s="252" customFormat="1" ht="17.25" customHeight="1">
      <c r="B49" s="220" t="s">
        <v>276</v>
      </c>
      <c r="C49" s="258"/>
      <c r="D49" s="258"/>
      <c r="E49" s="259"/>
      <c r="F49" s="260"/>
      <c r="G49" s="974">
        <f>D10</f>
        <v>4.0599999999999996</v>
      </c>
      <c r="H49" s="261"/>
      <c r="I49" s="220" t="s">
        <v>9</v>
      </c>
      <c r="J49" s="254"/>
      <c r="K49" s="974">
        <f>G10</f>
        <v>4.6698113207547172</v>
      </c>
    </row>
    <row r="50" spans="2:17" s="252" customFormat="1" ht="17.25" customHeight="1">
      <c r="B50" s="220" t="s">
        <v>277</v>
      </c>
      <c r="C50" s="258"/>
      <c r="D50" s="258"/>
      <c r="E50" s="253"/>
      <c r="F50" s="262"/>
      <c r="G50" s="975">
        <f>G49-G46</f>
        <v>2.8878175555555554</v>
      </c>
      <c r="H50" s="263"/>
      <c r="I50" s="220" t="s">
        <v>10</v>
      </c>
      <c r="J50" s="254"/>
      <c r="K50" s="975">
        <f>K49-G46</f>
        <v>3.497628876310273</v>
      </c>
    </row>
    <row r="51" spans="2:17" s="252" customFormat="1" ht="17.25" customHeight="1">
      <c r="B51" s="220" t="s">
        <v>378</v>
      </c>
      <c r="C51" s="258"/>
      <c r="D51" s="258"/>
      <c r="E51" s="253"/>
      <c r="F51" s="260"/>
      <c r="G51" s="975">
        <f>G50*$D8</f>
        <v>649.75894999999991</v>
      </c>
      <c r="H51" s="263"/>
      <c r="I51" s="220" t="s">
        <v>378</v>
      </c>
      <c r="J51" s="254"/>
      <c r="K51" s="975">
        <f>K50*$D8</f>
        <v>786.96649716981142</v>
      </c>
    </row>
    <row r="52" spans="2:17" s="252" customFormat="1" ht="17.25" customHeight="1">
      <c r="B52" s="220" t="s">
        <v>379</v>
      </c>
      <c r="C52" s="258"/>
      <c r="D52" s="258"/>
      <c r="E52" s="253"/>
      <c r="F52" s="260"/>
      <c r="G52" s="975">
        <f>G51/($C73*(1/60))</f>
        <v>135.36644791666666</v>
      </c>
      <c r="H52" s="263"/>
      <c r="I52" s="220" t="s">
        <v>379</v>
      </c>
      <c r="J52" s="254"/>
      <c r="K52" s="975">
        <f>K51/($C73*(1/60))</f>
        <v>163.95135357704405</v>
      </c>
    </row>
    <row r="53" spans="2:17" s="252" customFormat="1" ht="17.25" customHeight="1">
      <c r="B53" s="220" t="s">
        <v>278</v>
      </c>
      <c r="C53" s="258"/>
      <c r="D53" s="258"/>
      <c r="E53" s="253"/>
      <c r="F53" s="260"/>
      <c r="G53" s="8">
        <f>G50/$G$46</f>
        <v>2.4636246424286243</v>
      </c>
      <c r="H53" s="264"/>
      <c r="I53" s="220" t="s">
        <v>11</v>
      </c>
      <c r="J53" s="254"/>
      <c r="K53" s="8">
        <f>K50/$G$46</f>
        <v>2.9838604842507888</v>
      </c>
    </row>
    <row r="54" spans="2:17" s="252" customFormat="1" ht="17.25" customHeight="1" thickBot="1">
      <c r="B54" s="220" t="s">
        <v>12</v>
      </c>
      <c r="C54" s="258"/>
      <c r="D54" s="258"/>
      <c r="E54" s="253"/>
      <c r="F54" s="260"/>
      <c r="G54" s="976">
        <f>G49/$G$46</f>
        <v>3.4636246424286243</v>
      </c>
      <c r="H54" s="261"/>
      <c r="I54" s="220" t="s">
        <v>12</v>
      </c>
      <c r="J54" s="254"/>
      <c r="K54" s="976">
        <f>K49/$G$46</f>
        <v>3.9838604842507883</v>
      </c>
    </row>
    <row r="55" spans="2:17" ht="13.8">
      <c r="B55" s="220" t="s">
        <v>13</v>
      </c>
      <c r="C55" s="258"/>
      <c r="D55" s="258"/>
      <c r="E55" s="265"/>
      <c r="F55" s="266"/>
      <c r="G55" s="9">
        <f>G46/G49</f>
        <v>0.28871488779419818</v>
      </c>
      <c r="I55" s="220" t="s">
        <v>13</v>
      </c>
      <c r="J55" s="254"/>
      <c r="K55" s="9">
        <f>G46/K49</f>
        <v>0.25101280628507294</v>
      </c>
      <c r="L55" s="252"/>
      <c r="M55" s="252"/>
      <c r="N55" s="252"/>
      <c r="O55" s="252"/>
      <c r="P55" s="252"/>
      <c r="Q55" s="252"/>
    </row>
    <row r="56" spans="2:17" ht="14.4" thickBot="1">
      <c r="B56" s="220" t="s">
        <v>371</v>
      </c>
      <c r="F56" s="267"/>
      <c r="G56" s="34">
        <f ca="1">'4. CHARGES FIXES'!J18/(1-G55)</f>
        <v>29865.873899911589</v>
      </c>
      <c r="I56" s="220" t="s">
        <v>373</v>
      </c>
      <c r="K56" s="34">
        <f ca="1">'4. CHARGES FIXES'!J18/(1-K55)</f>
        <v>28362.502918986254</v>
      </c>
      <c r="L56" s="252"/>
      <c r="M56" s="252"/>
      <c r="N56" s="252"/>
      <c r="O56" s="252"/>
      <c r="P56" s="252"/>
      <c r="Q56" s="252"/>
    </row>
    <row r="57" spans="2:17" ht="14.4" thickBot="1">
      <c r="B57" s="268" t="s">
        <v>372</v>
      </c>
      <c r="F57" s="267"/>
      <c r="G57" s="977">
        <f ca="1">G56/G49</f>
        <v>7356.1265763329047</v>
      </c>
      <c r="I57" s="220" t="s">
        <v>374</v>
      </c>
      <c r="K57" s="977">
        <f ca="1">K56/K49</f>
        <v>6073.5864836617029</v>
      </c>
      <c r="L57" s="252"/>
      <c r="M57" s="252"/>
      <c r="N57" s="252"/>
      <c r="O57" s="252"/>
      <c r="P57" s="252"/>
      <c r="Q57" s="252"/>
    </row>
    <row r="58" spans="2:17" ht="14.4" thickBot="1">
      <c r="F58" s="267"/>
      <c r="K58" s="252"/>
      <c r="L58" s="252"/>
      <c r="M58" s="252"/>
      <c r="N58" s="252"/>
      <c r="O58" s="252"/>
      <c r="P58" s="252"/>
      <c r="Q58" s="252"/>
    </row>
    <row r="59" spans="2:17" ht="13.8">
      <c r="B59" s="436" t="s">
        <v>279</v>
      </c>
      <c r="C59" s="437"/>
      <c r="D59" s="437"/>
      <c r="E59" s="437"/>
      <c r="F59" s="437"/>
      <c r="G59" s="437"/>
      <c r="H59" s="437"/>
      <c r="I59" s="437"/>
      <c r="J59" s="438"/>
      <c r="K59" s="252"/>
      <c r="L59" s="252"/>
      <c r="M59" s="252"/>
      <c r="N59" s="252"/>
      <c r="O59" s="252"/>
      <c r="P59" s="252"/>
      <c r="Q59" s="252"/>
    </row>
    <row r="60" spans="2:17" ht="13.8">
      <c r="B60" s="269" t="s">
        <v>41</v>
      </c>
      <c r="C60" s="269" t="s">
        <v>280</v>
      </c>
      <c r="D60" s="269" t="s">
        <v>168</v>
      </c>
      <c r="E60" s="269" t="s">
        <v>282</v>
      </c>
      <c r="F60" s="269" t="s">
        <v>169</v>
      </c>
      <c r="G60" s="269" t="s">
        <v>172</v>
      </c>
      <c r="H60" s="269" t="s">
        <v>170</v>
      </c>
      <c r="I60" s="269" t="s">
        <v>174</v>
      </c>
      <c r="J60" s="269" t="s">
        <v>179</v>
      </c>
    </row>
    <row r="61" spans="2:17" ht="13.8">
      <c r="B61" s="270" t="s">
        <v>46</v>
      </c>
      <c r="C61" s="271">
        <v>20</v>
      </c>
      <c r="D61" s="271">
        <v>0</v>
      </c>
      <c r="E61" s="978">
        <f>C61+D61</f>
        <v>20</v>
      </c>
      <c r="F61" s="271"/>
      <c r="G61" s="271"/>
      <c r="H61" s="978">
        <f t="shared" ref="H61:H62" si="4">G61*D61/60</f>
        <v>0</v>
      </c>
      <c r="I61" s="272"/>
      <c r="J61" s="979" cm="1">
        <f t="array" ref="J61">_xlfn.IFS(I61=Listes!$C$2,'1. DONNEES DE BASE'!$B$2*H61,'FT_PROD (6)'!I61=Listes!$C$3,'1. DONNEES DE BASE'!$B$3*'FT_PROD (6)'!H61,TRUE,0)</f>
        <v>0</v>
      </c>
    </row>
    <row r="62" spans="2:17" ht="13.8">
      <c r="B62" s="270" t="s">
        <v>45</v>
      </c>
      <c r="C62" s="271">
        <v>120</v>
      </c>
      <c r="D62" s="271">
        <v>0</v>
      </c>
      <c r="E62" s="978">
        <f t="shared" ref="E62:E72" si="5">C62+D62</f>
        <v>120</v>
      </c>
      <c r="F62" s="271"/>
      <c r="G62" s="271"/>
      <c r="H62" s="978">
        <f t="shared" si="4"/>
        <v>0</v>
      </c>
      <c r="I62" s="272"/>
      <c r="J62" s="979" cm="1">
        <f t="array" ref="J62">_xlfn.IFS(I62=Listes!$C$2,'1. DONNEES DE BASE'!$B$2*H62,'FT_PROD (6)'!I62=Listes!$C$3,'1. DONNEES DE BASE'!$B$3*'FT_PROD (6)'!H62,TRUE,0)</f>
        <v>0</v>
      </c>
    </row>
    <row r="63" spans="2:17" ht="13.8">
      <c r="B63" s="270" t="s">
        <v>42</v>
      </c>
      <c r="C63" s="271">
        <v>10</v>
      </c>
      <c r="D63" s="273">
        <v>120</v>
      </c>
      <c r="E63" s="978">
        <f t="shared" si="5"/>
        <v>130</v>
      </c>
      <c r="F63" s="271" t="s">
        <v>173</v>
      </c>
      <c r="G63" s="271">
        <v>3</v>
      </c>
      <c r="H63" s="978">
        <f>G63*D63/60</f>
        <v>6</v>
      </c>
      <c r="I63" s="272" t="s">
        <v>175</v>
      </c>
      <c r="J63" s="979" cm="1">
        <f t="array" ref="J63">_xlfn.IFS(I63=Listes!$C$2,'1. DONNEES DE BASE'!$B$2*H63,'FT_PROD (6)'!I63=Listes!$C$3,'1. DONNEES DE BASE'!$B$3*'FT_PROD (6)'!H63,TRUE,0)</f>
        <v>0.48180000000000001</v>
      </c>
    </row>
    <row r="64" spans="2:17" ht="13.8">
      <c r="B64" s="270" t="s">
        <v>43</v>
      </c>
      <c r="C64" s="271">
        <v>3</v>
      </c>
      <c r="D64" s="271">
        <v>0</v>
      </c>
      <c r="E64" s="978">
        <f t="shared" si="5"/>
        <v>3</v>
      </c>
      <c r="F64" s="271"/>
      <c r="G64" s="271"/>
      <c r="H64" s="978">
        <f t="shared" ref="H64:H72" si="6">G64*D64/60</f>
        <v>0</v>
      </c>
      <c r="I64" s="272"/>
      <c r="J64" s="979" cm="1">
        <f t="array" ref="J64">_xlfn.IFS(I64=Listes!$C$2,'1. DONNEES DE BASE'!$B$2*H64,'FT_PROD (6)'!I64=Listes!$C$3,'1. DONNEES DE BASE'!$B$3*'FT_PROD (6)'!H64,TRUE,0)</f>
        <v>0</v>
      </c>
    </row>
    <row r="65" spans="2:10" ht="13.8">
      <c r="B65" s="270" t="s">
        <v>44</v>
      </c>
      <c r="C65" s="271">
        <v>15</v>
      </c>
      <c r="D65" s="273">
        <v>120</v>
      </c>
      <c r="E65" s="978">
        <f t="shared" si="5"/>
        <v>135</v>
      </c>
      <c r="F65" s="271"/>
      <c r="G65" s="271">
        <v>2</v>
      </c>
      <c r="H65" s="978">
        <f t="shared" si="6"/>
        <v>4</v>
      </c>
      <c r="I65" s="272" t="s">
        <v>176</v>
      </c>
      <c r="J65" s="979" cm="1">
        <f t="array" ref="J65">_xlfn.IFS(I65=Listes!$C$2,'1. DONNEES DE BASE'!$B$2*H65,'FT_PROD (6)'!I65=Listes!$C$3,'1. DONNEES DE BASE'!$B$3*'FT_PROD (6)'!H65,TRUE,0)</f>
        <v>0.8</v>
      </c>
    </row>
    <row r="66" spans="2:10" ht="13.8">
      <c r="B66" s="270" t="s">
        <v>27</v>
      </c>
      <c r="C66" s="271">
        <v>120</v>
      </c>
      <c r="D66" s="271">
        <v>0</v>
      </c>
      <c r="E66" s="978">
        <f t="shared" si="5"/>
        <v>120</v>
      </c>
      <c r="F66" s="271"/>
      <c r="G66" s="271"/>
      <c r="H66" s="978">
        <f t="shared" si="6"/>
        <v>0</v>
      </c>
      <c r="I66" s="272"/>
      <c r="J66" s="979" cm="1">
        <f t="array" ref="J66">_xlfn.IFS(I66=Listes!$C$2,'1. DONNEES DE BASE'!$B$2*H66,'FT_PROD (6)'!I66=Listes!$C$3,'1. DONNEES DE BASE'!$B$3*'FT_PROD (6)'!H66,TRUE,0)</f>
        <v>0</v>
      </c>
    </row>
    <row r="67" spans="2:10" ht="13.8">
      <c r="B67" s="274" t="s">
        <v>167</v>
      </c>
      <c r="C67" s="271">
        <v>0</v>
      </c>
      <c r="D67" s="271">
        <v>0</v>
      </c>
      <c r="E67" s="978">
        <f t="shared" si="5"/>
        <v>0</v>
      </c>
      <c r="F67" s="271"/>
      <c r="G67" s="271"/>
      <c r="H67" s="978">
        <f t="shared" si="6"/>
        <v>0</v>
      </c>
      <c r="I67" s="272"/>
      <c r="J67" s="979" cm="1">
        <f t="array" ref="J67">_xlfn.IFS(I67=Listes!$C$2,'1. DONNEES DE BASE'!$B$2*H67,'FT_PROD (6)'!I67=Listes!$C$3,'1. DONNEES DE BASE'!$B$3*'FT_PROD (6)'!H67,TRUE,0)</f>
        <v>0</v>
      </c>
    </row>
    <row r="68" spans="2:10" ht="13.8">
      <c r="B68" s="274" t="s">
        <v>48</v>
      </c>
      <c r="C68" s="271">
        <v>0</v>
      </c>
      <c r="D68" s="271">
        <v>15</v>
      </c>
      <c r="E68" s="978">
        <f t="shared" si="5"/>
        <v>15</v>
      </c>
      <c r="F68" s="271" t="s">
        <v>171</v>
      </c>
      <c r="G68" s="271">
        <v>3.55</v>
      </c>
      <c r="H68" s="978">
        <f t="shared" si="6"/>
        <v>0.88749999999999996</v>
      </c>
      <c r="I68" s="272" t="s">
        <v>176</v>
      </c>
      <c r="J68" s="979" cm="1">
        <f t="array" ref="J68">_xlfn.IFS(I68=Listes!$C$2,'1. DONNEES DE BASE'!$B$2*H68,'FT_PROD (6)'!I68=Listes!$C$3,'1. DONNEES DE BASE'!$B$3*'FT_PROD (6)'!H68,TRUE,0)</f>
        <v>0.17749999999999999</v>
      </c>
    </row>
    <row r="69" spans="2:10" ht="13.8">
      <c r="B69" s="274" t="s">
        <v>283</v>
      </c>
      <c r="C69" s="271">
        <v>0</v>
      </c>
      <c r="D69" s="271">
        <v>0</v>
      </c>
      <c r="E69" s="978">
        <f t="shared" si="5"/>
        <v>0</v>
      </c>
      <c r="F69" s="271"/>
      <c r="G69" s="271"/>
      <c r="H69" s="978">
        <f t="shared" si="6"/>
        <v>0</v>
      </c>
      <c r="I69" s="272"/>
      <c r="J69" s="979" cm="1">
        <f t="array" ref="J69">_xlfn.IFS(I69=Listes!$C$2,'1. DONNEES DE BASE'!$B$2*H69,'FT_PROD (6)'!I69=Listes!$C$3,'1. DONNEES DE BASE'!$B$3*'FT_PROD (6)'!H69,TRUE,0)</f>
        <v>0</v>
      </c>
    </row>
    <row r="70" spans="2:10" ht="13.8">
      <c r="B70" s="274" t="s">
        <v>284</v>
      </c>
      <c r="C70" s="271">
        <v>0</v>
      </c>
      <c r="D70" s="271">
        <v>0</v>
      </c>
      <c r="E70" s="978">
        <f t="shared" si="5"/>
        <v>0</v>
      </c>
      <c r="F70" s="271"/>
      <c r="G70" s="271"/>
      <c r="H70" s="978">
        <f t="shared" si="6"/>
        <v>0</v>
      </c>
      <c r="I70" s="272"/>
      <c r="J70" s="979" cm="1">
        <f t="array" ref="J70">_xlfn.IFS(I70=Listes!$C$2,'1. DONNEES DE BASE'!$B$2*H70,'FT_PROD (6)'!I70=Listes!$C$3,'1. DONNEES DE BASE'!$B$3*'FT_PROD (6)'!H70,TRUE,0)</f>
        <v>0</v>
      </c>
    </row>
    <row r="71" spans="2:10" ht="13.8">
      <c r="B71" s="274" t="s">
        <v>285</v>
      </c>
      <c r="C71" s="271">
        <v>0</v>
      </c>
      <c r="D71" s="271">
        <v>0</v>
      </c>
      <c r="E71" s="978">
        <f t="shared" si="5"/>
        <v>0</v>
      </c>
      <c r="F71" s="271"/>
      <c r="G71" s="271"/>
      <c r="H71" s="978">
        <f t="shared" si="6"/>
        <v>0</v>
      </c>
      <c r="I71" s="272"/>
      <c r="J71" s="979" cm="1">
        <f t="array" ref="J71">_xlfn.IFS(I71=Listes!$C$2,'1. DONNEES DE BASE'!$B$2*H71,'FT_PROD (6)'!I71=Listes!$C$3,'1. DONNEES DE BASE'!$B$3*'FT_PROD (6)'!H71,TRUE,0)</f>
        <v>0</v>
      </c>
    </row>
    <row r="72" spans="2:10" ht="13.8">
      <c r="B72" s="274" t="s">
        <v>286</v>
      </c>
      <c r="C72" s="271">
        <v>0</v>
      </c>
      <c r="D72" s="271">
        <v>0</v>
      </c>
      <c r="E72" s="978">
        <f t="shared" si="5"/>
        <v>0</v>
      </c>
      <c r="F72" s="271"/>
      <c r="G72" s="271"/>
      <c r="H72" s="978">
        <f t="shared" si="6"/>
        <v>0</v>
      </c>
      <c r="I72" s="272"/>
      <c r="J72" s="979" cm="1">
        <f t="array" ref="J72">_xlfn.IFS(I72=Listes!$C$2,'1. DONNEES DE BASE'!$B$2*H72,'FT_PROD (6)'!I72=Listes!$C$3,'1. DONNEES DE BASE'!$B$3*'FT_PROD (6)'!H72,TRUE,0)</f>
        <v>0</v>
      </c>
    </row>
    <row r="73" spans="2:10" ht="14.4" thickBot="1">
      <c r="B73" s="980" t="s">
        <v>47</v>
      </c>
      <c r="C73" s="981">
        <f>SUM(C61:C72)</f>
        <v>288</v>
      </c>
      <c r="D73" s="981">
        <f>SUM(D61:D72)</f>
        <v>255</v>
      </c>
      <c r="E73" s="981">
        <f>SUM(E61:E72)</f>
        <v>543</v>
      </c>
      <c r="F73" s="981"/>
      <c r="G73" s="981"/>
      <c r="H73" s="981">
        <f>SUM(H61:H72)</f>
        <v>10.887499999999999</v>
      </c>
      <c r="I73" s="981"/>
      <c r="J73" s="10">
        <f>SUMIF(J61:J72,"&lt;&gt;#N/A")</f>
        <v>1.4593</v>
      </c>
    </row>
    <row r="76" spans="2:10">
      <c r="B76" s="275" t="s">
        <v>497</v>
      </c>
      <c r="C76" s="275"/>
    </row>
    <row r="77" spans="2:10">
      <c r="B77" s="276" t="s">
        <v>498</v>
      </c>
      <c r="C77" s="982">
        <f>SUMIFS(G17:G32,C17:C32,"Auto")</f>
        <v>175</v>
      </c>
    </row>
    <row r="78" spans="2:10">
      <c r="B78" s="276" t="s">
        <v>499</v>
      </c>
      <c r="C78" s="983">
        <f>C77/D8</f>
        <v>0.77777777777777779</v>
      </c>
    </row>
  </sheetData>
  <sheetProtection algorithmName="SHA-512" hashValue="x3fRemvDRL67Ei5l71JXblbx9BPCDMBEwg5MFBezGZHVzw/1Gju3OeDD+zC9ugM2ASoqkVNKwKaBlnkJYOH8xA==" saltValue="y0xiqOhiy/AGkXWZOs4N3A==" spinCount="100000" sheet="1" objects="1" scenarios="1" formatCells="0" formatColumns="0" formatRows="0" insertRows="0" insertHyperlinks="0" sort="0" autoFilter="0" pivotTables="0"/>
  <protectedRanges>
    <protectedRange sqref="I61:I72" name="TYpe energie"/>
    <protectedRange sqref="C2:C3 D5:D6 D8 D10:D11 G11:G12" name="Données de base"/>
    <protectedRange sqref="I17:K32 I34:K42 B34:F42 B17:F32" name="Ingred et consommables"/>
    <protectedRange sqref="B61:D72 F61:G72" name="Energie et travail"/>
  </protectedRanges>
  <mergeCells count="17">
    <mergeCell ref="B33:F33"/>
    <mergeCell ref="H4:J4"/>
    <mergeCell ref="H5:J5"/>
    <mergeCell ref="H6:J6"/>
    <mergeCell ref="H7:J7"/>
    <mergeCell ref="H8:J8"/>
    <mergeCell ref="H9:J9"/>
    <mergeCell ref="H10:J10"/>
    <mergeCell ref="H11:J11"/>
    <mergeCell ref="H12:J12"/>
    <mergeCell ref="H13:J13"/>
    <mergeCell ref="I16:K16"/>
    <mergeCell ref="B43:F43"/>
    <mergeCell ref="B44:F44"/>
    <mergeCell ref="B48:G48"/>
    <mergeCell ref="I48:K48"/>
    <mergeCell ref="B59:J59"/>
  </mergeCells>
  <dataValidations count="2">
    <dataValidation type="list" allowBlank="1" showInputMessage="1" showErrorMessage="1" errorTitle="Consommable invalide" error="Veuillez sélectionner un consommable dans la liste." sqref="B34:B42" xr:uid="{ABC105B2-C475-49FF-9B32-8FCEE9F5CB16}">
      <formula1>ListeConsommables</formula1>
    </dataValidation>
    <dataValidation type="list" allowBlank="1" showInputMessage="1" showErrorMessage="1" errorTitle="Ingrédient invalide" error="Veuillez sélectionner un ingrédient dans la liste." sqref="B17:B32" xr:uid="{4A6F15A3-2970-4E9B-9595-F376C915902B}">
      <formula1>ListeIngredients</formula1>
    </dataValidation>
  </dataValidations>
  <pageMargins left="0.39370078740157483" right="0.39370078740157483" top="0.39370078740157483" bottom="0.39370078740157483" header="0.51181102362204722" footer="0.51181102362204722"/>
  <pageSetup paperSize="9" scale="65"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7D30FC2F-49AF-4774-8016-4478B254E08A}">
          <x14:formula1>
            <xm:f>Listes!$C$2:$C$5</xm:f>
          </x14:formula1>
          <xm:sqref>I61:I63 I65:I72</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466AD-6D60-4603-87BD-E90B534EE98B}">
  <sheetPr>
    <pageSetUpPr fitToPage="1"/>
  </sheetPr>
  <dimension ref="B1:Q78"/>
  <sheetViews>
    <sheetView showGridLines="0" zoomScale="85" zoomScaleNormal="85" workbookViewId="0">
      <selection activeCell="C4" sqref="C4"/>
    </sheetView>
  </sheetViews>
  <sheetFormatPr baseColWidth="10" defaultColWidth="11.44140625" defaultRowHeight="13.2"/>
  <cols>
    <col min="1" max="1" width="1.44140625" style="219" customWidth="1"/>
    <col min="2" max="2" width="23.109375" style="219" customWidth="1"/>
    <col min="3" max="3" width="20" style="219" customWidth="1"/>
    <col min="4" max="4" width="19" style="219" customWidth="1"/>
    <col min="5" max="5" width="13.6640625" style="219" bestFit="1" customWidth="1"/>
    <col min="6" max="6" width="23.21875" style="219" customWidth="1"/>
    <col min="7" max="7" width="14.5546875" style="219" customWidth="1"/>
    <col min="8" max="8" width="14.109375" style="219" customWidth="1"/>
    <col min="9" max="9" width="17.33203125" style="219" customWidth="1"/>
    <col min="10" max="10" width="16.6640625" style="219" customWidth="1"/>
    <col min="11" max="11" width="12.109375" style="219" customWidth="1"/>
    <col min="12" max="16384" width="11.44140625" style="219"/>
  </cols>
  <sheetData>
    <row r="1" spans="2:11" ht="47.25" customHeight="1">
      <c r="B1" s="216" t="s">
        <v>37</v>
      </c>
      <c r="C1" s="217"/>
      <c r="D1" s="217"/>
      <c r="E1" s="217"/>
      <c r="F1" s="217"/>
      <c r="G1" s="217"/>
      <c r="H1" s="217"/>
      <c r="I1" s="217"/>
      <c r="J1" s="218"/>
    </row>
    <row r="2" spans="2:11" ht="16.2" customHeight="1">
      <c r="B2" s="220" t="s">
        <v>39</v>
      </c>
      <c r="C2" s="221" t="s">
        <v>522</v>
      </c>
      <c r="D2" s="222"/>
      <c r="E2" s="223"/>
      <c r="F2" s="217"/>
      <c r="G2" s="217"/>
      <c r="H2" s="217"/>
      <c r="I2" s="217"/>
    </row>
    <row r="3" spans="2:11" ht="18.75" customHeight="1">
      <c r="B3" s="220" t="s">
        <v>23</v>
      </c>
      <c r="C3" s="221" t="s">
        <v>523</v>
      </c>
      <c r="D3" s="222"/>
      <c r="E3" s="223"/>
      <c r="F3" s="217"/>
      <c r="G3" s="217"/>
      <c r="H3" s="217"/>
      <c r="I3" s="217"/>
    </row>
    <row r="4" spans="2:11" ht="18.75" customHeight="1">
      <c r="B4" s="224"/>
      <c r="C4" s="217"/>
      <c r="D4" s="217"/>
      <c r="F4" s="217"/>
      <c r="G4" s="217"/>
      <c r="H4" s="434" t="s">
        <v>287</v>
      </c>
      <c r="I4" s="434"/>
      <c r="J4" s="434"/>
    </row>
    <row r="5" spans="2:11" ht="19.95" customHeight="1">
      <c r="B5" s="220" t="s">
        <v>265</v>
      </c>
      <c r="C5" s="225"/>
      <c r="D5" s="226">
        <v>50</v>
      </c>
      <c r="E5" s="227"/>
      <c r="F5" s="228"/>
      <c r="G5" s="229"/>
      <c r="H5" s="435" t="s">
        <v>266</v>
      </c>
      <c r="I5" s="428"/>
      <c r="J5" s="428"/>
    </row>
    <row r="6" spans="2:11" ht="19.95" customHeight="1">
      <c r="B6" s="220" t="s">
        <v>267</v>
      </c>
      <c r="C6" s="225"/>
      <c r="D6" s="230">
        <v>0.2</v>
      </c>
      <c r="E6" s="227"/>
      <c r="F6" s="228"/>
      <c r="G6" s="229"/>
      <c r="H6" s="428"/>
      <c r="I6" s="428"/>
      <c r="J6" s="428"/>
    </row>
    <row r="7" spans="2:11" ht="19.95" customHeight="1">
      <c r="B7" s="220" t="s">
        <v>35</v>
      </c>
      <c r="C7" s="225"/>
      <c r="D7" s="965">
        <f>D5/D6</f>
        <v>250</v>
      </c>
      <c r="E7" s="227"/>
      <c r="F7" s="228"/>
      <c r="G7" s="229"/>
      <c r="H7" s="428"/>
      <c r="I7" s="428"/>
      <c r="J7" s="428"/>
    </row>
    <row r="8" spans="2:11" ht="19.95" customHeight="1">
      <c r="B8" s="220" t="s">
        <v>36</v>
      </c>
      <c r="C8" s="225"/>
      <c r="D8" s="230">
        <v>225</v>
      </c>
      <c r="E8" s="227"/>
      <c r="F8" s="228"/>
      <c r="G8" s="229"/>
      <c r="H8" s="428" t="s">
        <v>268</v>
      </c>
      <c r="I8" s="428"/>
      <c r="J8" s="428"/>
    </row>
    <row r="9" spans="2:11" ht="19.95" customHeight="1">
      <c r="B9" s="220" t="s">
        <v>34</v>
      </c>
      <c r="C9" s="225"/>
      <c r="D9" s="4">
        <f>1-(D8/D7)</f>
        <v>9.9999999999999978E-2</v>
      </c>
      <c r="E9" s="227"/>
      <c r="F9" s="228"/>
      <c r="G9" s="229"/>
      <c r="H9" s="428" t="s">
        <v>269</v>
      </c>
      <c r="I9" s="428"/>
      <c r="J9" s="428"/>
    </row>
    <row r="10" spans="2:11" ht="19.95" customHeight="1">
      <c r="B10" s="220" t="s">
        <v>25</v>
      </c>
      <c r="C10" s="225"/>
      <c r="D10" s="231">
        <v>4.0599999999999996</v>
      </c>
      <c r="E10" s="220" t="s">
        <v>32</v>
      </c>
      <c r="F10" s="232"/>
      <c r="G10" s="966">
        <f>G12/(1+G11)</f>
        <v>4.6698113207547172</v>
      </c>
      <c r="H10" s="428"/>
      <c r="I10" s="428"/>
      <c r="J10" s="428"/>
    </row>
    <row r="11" spans="2:11" ht="19.95" customHeight="1">
      <c r="B11" s="220" t="s">
        <v>3</v>
      </c>
      <c r="C11" s="225"/>
      <c r="D11" s="233">
        <v>0.06</v>
      </c>
      <c r="E11" s="220" t="s">
        <v>3</v>
      </c>
      <c r="F11" s="232"/>
      <c r="G11" s="234">
        <v>0.06</v>
      </c>
      <c r="H11" s="428"/>
      <c r="I11" s="428"/>
      <c r="J11" s="428"/>
    </row>
    <row r="12" spans="2:11" ht="19.95" customHeight="1">
      <c r="B12" s="220" t="s">
        <v>33</v>
      </c>
      <c r="C12" s="225"/>
      <c r="D12" s="967">
        <f>D10*(1+D11)</f>
        <v>4.3035999999999994</v>
      </c>
      <c r="E12" s="220" t="s">
        <v>24</v>
      </c>
      <c r="F12" s="232"/>
      <c r="G12" s="235">
        <v>4.95</v>
      </c>
      <c r="H12" s="428"/>
      <c r="I12" s="428"/>
      <c r="J12" s="428"/>
    </row>
    <row r="13" spans="2:11" ht="19.95" customHeight="1">
      <c r="B13" s="220" t="s">
        <v>270</v>
      </c>
      <c r="C13" s="225"/>
      <c r="D13" s="4">
        <f>G10/D10-1</f>
        <v>0.15019983269820636</v>
      </c>
      <c r="E13" s="236"/>
      <c r="F13" s="236"/>
      <c r="G13" s="236"/>
      <c r="H13" s="428" t="s">
        <v>271</v>
      </c>
      <c r="I13" s="428"/>
      <c r="J13" s="428"/>
    </row>
    <row r="14" spans="2:11" ht="18.75" customHeight="1">
      <c r="B14" s="236"/>
      <c r="C14" s="236"/>
      <c r="D14" s="236"/>
      <c r="E14" s="236"/>
      <c r="F14" s="236"/>
      <c r="G14" s="236"/>
      <c r="H14" s="236"/>
      <c r="I14" s="236"/>
    </row>
    <row r="15" spans="2:11" ht="6.75" customHeight="1" thickBot="1"/>
    <row r="16" spans="2:11" s="951" customFormat="1" ht="45" customHeight="1">
      <c r="B16" s="237" t="s">
        <v>4</v>
      </c>
      <c r="C16" s="238" t="s">
        <v>5</v>
      </c>
      <c r="D16" s="239" t="s">
        <v>6</v>
      </c>
      <c r="E16" s="239" t="s">
        <v>7</v>
      </c>
      <c r="F16" s="239" t="s">
        <v>8</v>
      </c>
      <c r="G16" s="239" t="s">
        <v>281</v>
      </c>
      <c r="H16" s="240" t="s">
        <v>30</v>
      </c>
      <c r="I16" s="429" t="s">
        <v>22</v>
      </c>
      <c r="J16" s="429"/>
      <c r="K16" s="430"/>
    </row>
    <row r="17" spans="2:11" s="252" customFormat="1" ht="17.25" customHeight="1">
      <c r="B17" s="208" t="s">
        <v>14</v>
      </c>
      <c r="C17" s="968" t="str">
        <f>IF(ISBLANK(B17),"",_xlfn.XLOOKUP(B17,tblIngredients[Article],tblIngredients[Fournisseur],""))</f>
        <v>Auto</v>
      </c>
      <c r="D17" s="969" t="str">
        <f>IF(ISBLANK(B17),"",_xlfn.XLOOKUP(B17,tblIngredients[Article],tblIngredients[Unité conditionnement],""))</f>
        <v>1 kg</v>
      </c>
      <c r="E17" s="970">
        <f>IF(ISBLANK(B17),"",_xlfn.XLOOKUP(B17,tblIngredients[Article],tblIngredients[Coût d''achat HTVA  à l''unité],""))</f>
        <v>3.5</v>
      </c>
      <c r="F17" s="241">
        <v>50</v>
      </c>
      <c r="G17" s="971">
        <f>IF(OR(F17="",ISBLANK(F17)),"",E17*F17)</f>
        <v>175</v>
      </c>
      <c r="H17" s="5">
        <f>IF(OR(G17="",ISBLANK(G17)),"",G17/G$33)</f>
        <v>0.92115565556674106</v>
      </c>
      <c r="I17" s="242" t="s">
        <v>272</v>
      </c>
      <c r="J17" s="243"/>
      <c r="K17" s="244"/>
    </row>
    <row r="18" spans="2:11" s="252" customFormat="1" ht="17.25" customHeight="1">
      <c r="B18" s="208" t="s">
        <v>15</v>
      </c>
      <c r="C18" s="968" t="str">
        <f>IF(ISBLANK(B18),"",_xlfn.XLOOKUP(B18,tblIngredients[Article],tblIngredients[Fournisseur],""))</f>
        <v>Inbterbio</v>
      </c>
      <c r="D18" s="969" t="str">
        <f>IF(ISBLANK(B18),"",_xlfn.XLOOKUP(B18,tblIngredients[Article],tblIngredients[Unité conditionnement],""))</f>
        <v>1 kg</v>
      </c>
      <c r="E18" s="970">
        <f>IF(ISBLANK(B18),"",_xlfn.XLOOKUP(B18,tblIngredients[Article],tblIngredients[Coût d''achat HTVA  à l''unité],""))</f>
        <v>6</v>
      </c>
      <c r="F18" s="241">
        <v>0.5</v>
      </c>
      <c r="G18" s="971">
        <f t="shared" ref="G18:G32" si="0">IF(OR(F18="",ISBLANK(F18)),"",E18*F18)</f>
        <v>3</v>
      </c>
      <c r="H18" s="5">
        <f t="shared" ref="H18:H32" si="1">IF(OR(G18="",ISBLANK(G18)),"",G18/G$33)</f>
        <v>1.5791239809715561E-2</v>
      </c>
      <c r="I18" s="245"/>
      <c r="J18" s="243"/>
      <c r="K18" s="244"/>
    </row>
    <row r="19" spans="2:11" s="252" customFormat="1" ht="17.25" customHeight="1">
      <c r="B19" s="208" t="s">
        <v>16</v>
      </c>
      <c r="C19" s="968" t="str">
        <f>IF(ISBLANK(B19),"",_xlfn.XLOOKUP(B19,tblIngredients[Article],tblIngredients[Fournisseur],""))</f>
        <v>Interbio</v>
      </c>
      <c r="D19" s="969" t="str">
        <f>IF(ISBLANK(B19),"",_xlfn.XLOOKUP(B19,tblIngredients[Article],tblIngredients[Unité conditionnement],""))</f>
        <v>1 Botte</v>
      </c>
      <c r="E19" s="970">
        <f>IF(ISBLANK(B19),"",_xlfn.XLOOKUP(B19,tblIngredients[Article],tblIngredients[Coût d''achat HTVA  à l''unité],""))</f>
        <v>1.89</v>
      </c>
      <c r="F19" s="241">
        <v>4</v>
      </c>
      <c r="G19" s="971">
        <f t="shared" si="0"/>
        <v>7.56</v>
      </c>
      <c r="H19" s="5">
        <f t="shared" si="1"/>
        <v>3.9793924320483211E-2</v>
      </c>
      <c r="I19" s="245"/>
      <c r="J19" s="243"/>
      <c r="K19" s="244"/>
    </row>
    <row r="20" spans="2:11" s="252" customFormat="1" ht="17.25" customHeight="1">
      <c r="B20" s="208" t="s">
        <v>17</v>
      </c>
      <c r="C20" s="968" t="str">
        <f>IF(ISBLANK(B20),"",_xlfn.XLOOKUP(B20,tblIngredients[Article],tblIngredients[Fournisseur],""))</f>
        <v>Solucious</v>
      </c>
      <c r="D20" s="969" t="str">
        <f>IF(ISBLANK(B20),"",_xlfn.XLOOKUP(B20,tblIngredients[Article],tblIngredients[Unité conditionnement],""))</f>
        <v>1 L</v>
      </c>
      <c r="E20" s="970">
        <f>IF(ISBLANK(B20),"",_xlfn.XLOOKUP(B20,tblIngredients[Article],tblIngredients[Coût d''achat HTVA  à l''unité],""))</f>
        <v>17.649999999999999</v>
      </c>
      <c r="F20" s="241">
        <v>0.25</v>
      </c>
      <c r="G20" s="971">
        <f t="shared" si="0"/>
        <v>4.4124999999999996</v>
      </c>
      <c r="H20" s="5">
        <f t="shared" si="1"/>
        <v>2.3226281886789969E-2</v>
      </c>
      <c r="I20" s="245"/>
      <c r="J20" s="243"/>
      <c r="K20" s="244"/>
    </row>
    <row r="21" spans="2:11" s="252" customFormat="1" ht="17.25" customHeight="1">
      <c r="B21" s="208" t="s">
        <v>359</v>
      </c>
      <c r="C21" s="968" t="str">
        <f>IF(ISBLANK(B21),"",_xlfn.XLOOKUP(B21,tblIngredients[Article],tblIngredients[Fournisseur],""))</f>
        <v>Solucious</v>
      </c>
      <c r="D21" s="969" t="str">
        <f>IF(ISBLANK(B21),"",_xlfn.XLOOKUP(B21,tblIngredients[Article],tblIngredients[Unité conditionnement],""))</f>
        <v>1 Kg</v>
      </c>
      <c r="E21" s="970">
        <f>IF(ISBLANK(B21),"",_xlfn.XLOOKUP(B21,tblIngredients[Article],tblIngredients[Coût d''achat HTVA  à l''unité],""))</f>
        <v>6.25</v>
      </c>
      <c r="F21" s="241">
        <v>1E-3</v>
      </c>
      <c r="G21" s="971">
        <f t="shared" si="0"/>
        <v>6.2500000000000003E-3</v>
      </c>
      <c r="H21" s="5">
        <f t="shared" si="1"/>
        <v>3.2898416270240753E-5</v>
      </c>
      <c r="I21" s="245"/>
      <c r="J21" s="243"/>
      <c r="K21" s="244"/>
    </row>
    <row r="22" spans="2:11" s="252" customFormat="1" ht="17.25" customHeight="1">
      <c r="B22" s="208"/>
      <c r="C22" s="968" t="str">
        <f>IF(ISBLANK(B22),"",_xlfn.XLOOKUP(B22,tblIngredients[Article],tblIngredients[Fournisseur],""))</f>
        <v/>
      </c>
      <c r="D22" s="969" t="str">
        <f>IF(ISBLANK(B22),"",_xlfn.XLOOKUP(B22,tblIngredients[Article],tblIngredients[Unité conditionnement],""))</f>
        <v/>
      </c>
      <c r="E22" s="970" t="str">
        <f>IF(ISBLANK(B22),"",_xlfn.XLOOKUP(B22,tblIngredients[Article],tblIngredients[Coût d''achat HTVA  à l''unité],""))</f>
        <v/>
      </c>
      <c r="F22" s="241"/>
      <c r="G22" s="971" t="str">
        <f t="shared" si="0"/>
        <v/>
      </c>
      <c r="H22" s="5" t="str">
        <f t="shared" si="1"/>
        <v/>
      </c>
      <c r="I22" s="245"/>
      <c r="J22" s="243"/>
      <c r="K22" s="244"/>
    </row>
    <row r="23" spans="2:11" s="252" customFormat="1" ht="17.25" customHeight="1">
      <c r="B23" s="208"/>
      <c r="C23" s="968" t="str">
        <f>IF(ISBLANK(B23),"",_xlfn.XLOOKUP(B23,tblIngredients[Article],tblIngredients[Fournisseur],""))</f>
        <v/>
      </c>
      <c r="D23" s="969" t="str">
        <f>IF(ISBLANK(B23),"",_xlfn.XLOOKUP(B23,tblIngredients[Article],tblIngredients[Unité conditionnement],""))</f>
        <v/>
      </c>
      <c r="E23" s="970" t="str">
        <f>IF(ISBLANK(B23),"",_xlfn.XLOOKUP(B23,tblIngredients[Article],tblIngredients[Coût d''achat HTVA  à l''unité],""))</f>
        <v/>
      </c>
      <c r="F23" s="241"/>
      <c r="G23" s="971" t="str">
        <f t="shared" si="0"/>
        <v/>
      </c>
      <c r="H23" s="5" t="str">
        <f t="shared" si="1"/>
        <v/>
      </c>
      <c r="I23" s="245"/>
      <c r="J23" s="243"/>
      <c r="K23" s="244"/>
    </row>
    <row r="24" spans="2:11" s="252" customFormat="1" ht="17.25" customHeight="1">
      <c r="B24" s="208"/>
      <c r="C24" s="968" t="str">
        <f>IF(ISBLANK(B24),"",_xlfn.XLOOKUP(B24,tblIngredients[Article],tblIngredients[Fournisseur],""))</f>
        <v/>
      </c>
      <c r="D24" s="969" t="str">
        <f>IF(ISBLANK(B24),"",_xlfn.XLOOKUP(B24,tblIngredients[Article],tblIngredients[Unité conditionnement],""))</f>
        <v/>
      </c>
      <c r="E24" s="970" t="str">
        <f>IF(ISBLANK(B24),"",_xlfn.XLOOKUP(B24,tblIngredients[Article],tblIngredients[Coût d''achat HTVA  à l''unité],""))</f>
        <v/>
      </c>
      <c r="F24" s="241"/>
      <c r="G24" s="971" t="str">
        <f t="shared" si="0"/>
        <v/>
      </c>
      <c r="H24" s="5" t="str">
        <f t="shared" si="1"/>
        <v/>
      </c>
      <c r="I24" s="245"/>
      <c r="J24" s="243"/>
      <c r="K24" s="244"/>
    </row>
    <row r="25" spans="2:11" s="252" customFormat="1" ht="17.25" customHeight="1">
      <c r="B25" s="208"/>
      <c r="C25" s="968" t="str">
        <f>IF(ISBLANK(B25),"",_xlfn.XLOOKUP(B25,tblIngredients[Article],tblIngredients[Fournisseur],""))</f>
        <v/>
      </c>
      <c r="D25" s="969" t="str">
        <f>IF(ISBLANK(B25),"",_xlfn.XLOOKUP(B25,tblIngredients[Article],tblIngredients[Unité conditionnement],""))</f>
        <v/>
      </c>
      <c r="E25" s="970" t="str">
        <f>IF(ISBLANK(B25),"",_xlfn.XLOOKUP(B25,tblIngredients[Article],tblIngredients[Coût d''achat HTVA  à l''unité],""))</f>
        <v/>
      </c>
      <c r="F25" s="241"/>
      <c r="G25" s="971" t="str">
        <f t="shared" si="0"/>
        <v/>
      </c>
      <c r="H25" s="5" t="str">
        <f t="shared" si="1"/>
        <v/>
      </c>
      <c r="I25" s="245"/>
      <c r="J25" s="243"/>
      <c r="K25" s="244"/>
    </row>
    <row r="26" spans="2:11" s="252" customFormat="1" ht="17.25" customHeight="1">
      <c r="B26" s="208"/>
      <c r="C26" s="968" t="str">
        <f>IF(ISBLANK(B26),"",_xlfn.XLOOKUP(B26,tblIngredients[Article],tblIngredients[Fournisseur],""))</f>
        <v/>
      </c>
      <c r="D26" s="969" t="str">
        <f>IF(ISBLANK(B26),"",_xlfn.XLOOKUP(B26,tblIngredients[Article],tblIngredients[Unité conditionnement],""))</f>
        <v/>
      </c>
      <c r="E26" s="970" t="str">
        <f>IF(ISBLANK(B26),"",_xlfn.XLOOKUP(B26,tblIngredients[Article],tblIngredients[Coût d''achat HTVA  à l''unité],""))</f>
        <v/>
      </c>
      <c r="F26" s="241"/>
      <c r="G26" s="971" t="str">
        <f t="shared" si="0"/>
        <v/>
      </c>
      <c r="H26" s="5" t="str">
        <f t="shared" si="1"/>
        <v/>
      </c>
      <c r="I26" s="245"/>
      <c r="J26" s="243"/>
      <c r="K26" s="244"/>
    </row>
    <row r="27" spans="2:11" s="252" customFormat="1" ht="17.25" customHeight="1">
      <c r="B27" s="208"/>
      <c r="C27" s="968" t="str">
        <f>IF(ISBLANK(B27),"",_xlfn.XLOOKUP(B27,tblIngredients[Article],tblIngredients[Fournisseur],""))</f>
        <v/>
      </c>
      <c r="D27" s="969" t="str">
        <f>IF(ISBLANK(B27),"",_xlfn.XLOOKUP(B27,tblIngredients[Article],tblIngredients[Unité conditionnement],""))</f>
        <v/>
      </c>
      <c r="E27" s="970" t="str">
        <f>IF(ISBLANK(B27),"",_xlfn.XLOOKUP(B27,tblIngredients[Article],tblIngredients[Coût d''achat HTVA  à l''unité],""))</f>
        <v/>
      </c>
      <c r="F27" s="241"/>
      <c r="G27" s="971" t="str">
        <f t="shared" si="0"/>
        <v/>
      </c>
      <c r="H27" s="5" t="str">
        <f t="shared" si="1"/>
        <v/>
      </c>
      <c r="I27" s="245"/>
      <c r="J27" s="243"/>
      <c r="K27" s="244"/>
    </row>
    <row r="28" spans="2:11" s="252" customFormat="1" ht="17.25" customHeight="1">
      <c r="B28" s="208"/>
      <c r="C28" s="968"/>
      <c r="D28" s="969"/>
      <c r="E28" s="970"/>
      <c r="F28" s="241"/>
      <c r="G28" s="971"/>
      <c r="H28" s="5"/>
      <c r="I28" s="245"/>
      <c r="J28" s="243"/>
      <c r="K28" s="244"/>
    </row>
    <row r="29" spans="2:11" s="252" customFormat="1" ht="17.25" customHeight="1">
      <c r="B29" s="208"/>
      <c r="C29" s="968" t="str">
        <f>IF(ISBLANK(B29),"",_xlfn.XLOOKUP(B29,tblIngredients[Article],tblIngredients[Fournisseur],""))</f>
        <v/>
      </c>
      <c r="D29" s="969" t="str">
        <f>IF(ISBLANK(B29),"",_xlfn.XLOOKUP(B29,tblIngredients[Article],tblIngredients[Unité conditionnement],""))</f>
        <v/>
      </c>
      <c r="E29" s="970" t="str">
        <f>IF(ISBLANK(B29),"",_xlfn.XLOOKUP(B29,tblIngredients[Article],tblIngredients[Coût d''achat HTVA  à l''unité],""))</f>
        <v/>
      </c>
      <c r="F29" s="241"/>
      <c r="G29" s="971" t="str">
        <f t="shared" si="0"/>
        <v/>
      </c>
      <c r="H29" s="5" t="str">
        <f t="shared" si="1"/>
        <v/>
      </c>
      <c r="I29" s="245"/>
      <c r="J29" s="243"/>
      <c r="K29" s="244"/>
    </row>
    <row r="30" spans="2:11" s="252" customFormat="1" ht="17.25" customHeight="1">
      <c r="B30" s="208"/>
      <c r="C30" s="968" t="str">
        <f>IF(ISBLANK(B30),"",_xlfn.XLOOKUP(B30,tblIngredients[Article],tblIngredients[Fournisseur],""))</f>
        <v/>
      </c>
      <c r="D30" s="969" t="str">
        <f>IF(ISBLANK(B30),"",_xlfn.XLOOKUP(B30,tblIngredients[Article],tblIngredients[Unité conditionnement],""))</f>
        <v/>
      </c>
      <c r="E30" s="970" t="str">
        <f>IF(ISBLANK(B30),"",_xlfn.XLOOKUP(B30,tblIngredients[Article],tblIngredients[Coût d''achat HTVA  à l''unité],""))</f>
        <v/>
      </c>
      <c r="F30" s="241"/>
      <c r="G30" s="971" t="str">
        <f t="shared" si="0"/>
        <v/>
      </c>
      <c r="H30" s="5" t="str">
        <f t="shared" si="1"/>
        <v/>
      </c>
      <c r="I30" s="245"/>
      <c r="J30" s="243"/>
      <c r="K30" s="244"/>
    </row>
    <row r="31" spans="2:11" s="252" customFormat="1" ht="17.25" customHeight="1">
      <c r="B31" s="208"/>
      <c r="C31" s="968" t="str">
        <f>IF(ISBLANK(B31),"",_xlfn.XLOOKUP(B31,tblIngredients[Article],tblIngredients[Fournisseur],""))</f>
        <v/>
      </c>
      <c r="D31" s="969" t="str">
        <f>IF(ISBLANK(B31),"",_xlfn.XLOOKUP(B31,tblIngredients[Article],tblIngredients[Unité conditionnement],""))</f>
        <v/>
      </c>
      <c r="E31" s="970" t="str">
        <f>IF(ISBLANK(B31),"",_xlfn.XLOOKUP(B31,tblIngredients[Article],tblIngredients[Coût d''achat HTVA  à l''unité],""))</f>
        <v/>
      </c>
      <c r="F31" s="241"/>
      <c r="G31" s="971" t="str">
        <f t="shared" si="0"/>
        <v/>
      </c>
      <c r="H31" s="5" t="str">
        <f t="shared" si="1"/>
        <v/>
      </c>
      <c r="I31" s="245"/>
      <c r="J31" s="243"/>
      <c r="K31" s="244"/>
    </row>
    <row r="32" spans="2:11" s="252" customFormat="1" ht="17.25" customHeight="1">
      <c r="B32" s="208"/>
      <c r="C32" s="968" t="str">
        <f>IF(ISBLANK(B32),"",_xlfn.XLOOKUP(B32,tblIngredients[Article],tblIngredients[Fournisseur],""))</f>
        <v/>
      </c>
      <c r="D32" s="969" t="str">
        <f>IF(ISBLANK(B32),"",_xlfn.XLOOKUP(B32,tblIngredients[Article],tblIngredients[Unité conditionnement],""))</f>
        <v/>
      </c>
      <c r="E32" s="970" t="str">
        <f>IF(ISBLANK(B32),"",_xlfn.XLOOKUP(B32,tblIngredients[Article],tblIngredients[Coût d''achat HTVA  à l''unité],""))</f>
        <v/>
      </c>
      <c r="F32" s="241"/>
      <c r="G32" s="971" t="str">
        <f t="shared" si="0"/>
        <v/>
      </c>
      <c r="H32" s="5" t="str">
        <f t="shared" si="1"/>
        <v/>
      </c>
      <c r="I32" s="245"/>
      <c r="J32" s="243"/>
      <c r="K32" s="244"/>
    </row>
    <row r="33" spans="2:11" s="252" customFormat="1" ht="17.25" customHeight="1">
      <c r="B33" s="952" t="s">
        <v>29</v>
      </c>
      <c r="C33" s="952"/>
      <c r="D33" s="952"/>
      <c r="E33" s="952"/>
      <c r="F33" s="952"/>
      <c r="G33" s="953">
        <f>SUM(G17:G32)</f>
        <v>189.97874999999999</v>
      </c>
      <c r="H33" s="954">
        <f>IF(G33="","",G33/G$45)</f>
        <v>0.72032302138783477</v>
      </c>
      <c r="I33" s="955"/>
      <c r="J33" s="956"/>
      <c r="K33" s="957"/>
    </row>
    <row r="34" spans="2:11" s="252" customFormat="1" ht="17.25" customHeight="1">
      <c r="B34" s="208" t="s">
        <v>19</v>
      </c>
      <c r="C34" s="968" t="str">
        <f>IF(ISBLANK(B34),"",_xlfn.XLOOKUP(B34,tblConsommables[Article],tblConsommables[Fournisseur],""))</f>
        <v>Grossiste</v>
      </c>
      <c r="D34" s="969" t="str">
        <f>IF(ISBLANK(B34),"",_xlfn.XLOOKUP(B34,tblConsommables[Article],tblConsommables[Unité conditionnement],""))</f>
        <v>Unité</v>
      </c>
      <c r="E34" s="970">
        <f>IF(ISBLANK(B34),"",_xlfn.XLOOKUP(B34,tblConsommables[Article],tblConsommables[Coût d''achat HTVA  à l''unité],""))</f>
        <v>0.154</v>
      </c>
      <c r="F34" s="246">
        <v>230</v>
      </c>
      <c r="G34" s="972">
        <f>IF(OR(F34="",ISBLANK(F34)),"",E34*F34)</f>
        <v>35.42</v>
      </c>
      <c r="H34" s="6">
        <f>IF(OR(G34="",ISBLANK(G34)),"",G34/G$43)</f>
        <v>0.48988285410010646</v>
      </c>
      <c r="I34" s="245"/>
      <c r="J34" s="243"/>
      <c r="K34" s="247"/>
    </row>
    <row r="35" spans="2:11" s="252" customFormat="1" ht="17.25" customHeight="1">
      <c r="B35" s="208" t="s">
        <v>38</v>
      </c>
      <c r="C35" s="968" t="str">
        <f>IF(ISBLANK(B35),"",_xlfn.XLOOKUP(B35,tblConsommables[Article],tblConsommables[Fournisseur],""))</f>
        <v>Grossiste</v>
      </c>
      <c r="D35" s="969" t="str">
        <f>IF(ISBLANK(B35),"",_xlfn.XLOOKUP(B35,tblConsommables[Article],tblConsommables[Unité conditionnement],""))</f>
        <v>Unité</v>
      </c>
      <c r="E35" s="970">
        <f>IF(ISBLANK(B35),"",_xlfn.XLOOKUP(B35,tblConsommables[Article],tblConsommables[Coût d''achat HTVA  à l''unité],""))</f>
        <v>0.12</v>
      </c>
      <c r="F35" s="246">
        <v>250</v>
      </c>
      <c r="G35" s="972">
        <f t="shared" ref="G35:G42" si="2">IF(OR(F35="",ISBLANK(F35)),"",E35*F35)</f>
        <v>30</v>
      </c>
      <c r="H35" s="6">
        <f t="shared" ref="H35:H42" si="3">IF(OR(G35="",ISBLANK(G35)),"",G35/G$43)</f>
        <v>0.41492054271606982</v>
      </c>
      <c r="I35" s="245"/>
      <c r="J35" s="243"/>
      <c r="K35" s="247"/>
    </row>
    <row r="36" spans="2:11" s="252" customFormat="1" ht="17.25" customHeight="1">
      <c r="B36" s="208" t="s">
        <v>27</v>
      </c>
      <c r="C36" s="968" t="str">
        <f>IF(ISBLANK(B36),"",_xlfn.XLOOKUP(B36,tblConsommables[Article],tblConsommables[Fournisseur],""))</f>
        <v>Grossiste</v>
      </c>
      <c r="D36" s="969" t="str">
        <f>IF(ISBLANK(B36),"",_xlfn.XLOOKUP(B36,tblConsommables[Article],tblConsommables[Unité conditionnement],""))</f>
        <v>Rack de 1000</v>
      </c>
      <c r="E36" s="970">
        <f>IF(ISBLANK(B36),"",_xlfn.XLOOKUP(B36,tblConsommables[Article],tblConsommables[Coût d''achat HTVA  à l''unité],""))</f>
        <v>27.3</v>
      </c>
      <c r="F36" s="246">
        <v>0.25</v>
      </c>
      <c r="G36" s="972">
        <f t="shared" si="2"/>
        <v>6.8250000000000002</v>
      </c>
      <c r="H36" s="6">
        <f t="shared" si="3"/>
        <v>9.4394423467905886E-2</v>
      </c>
      <c r="I36" s="245"/>
      <c r="J36" s="243"/>
      <c r="K36" s="247"/>
    </row>
    <row r="37" spans="2:11" s="252" customFormat="1" ht="17.25" customHeight="1">
      <c r="B37" s="208" t="s">
        <v>370</v>
      </c>
      <c r="C37" s="968" t="str">
        <f>IF(ISBLANK(B37),"",_xlfn.XLOOKUP(B37,tblConsommables[Article],tblConsommables[Fournisseur],""))</f>
        <v>Grossiste</v>
      </c>
      <c r="D37" s="969" t="str">
        <f>IF(ISBLANK(B37),"",_xlfn.XLOOKUP(B37,tblConsommables[Article],tblConsommables[Unité conditionnement],""))</f>
        <v>Rack de 1000</v>
      </c>
      <c r="E37" s="970">
        <f>IF(ISBLANK(B37),"",_xlfn.XLOOKUP(B37,tblConsommables[Article],tblConsommables[Coût d''achat HTVA  à l''unité],""))</f>
        <v>58</v>
      </c>
      <c r="F37" s="246">
        <v>1E-3</v>
      </c>
      <c r="G37" s="972">
        <f t="shared" si="2"/>
        <v>5.8000000000000003E-2</v>
      </c>
      <c r="H37" s="6">
        <f t="shared" si="3"/>
        <v>8.0217971591773501E-4</v>
      </c>
      <c r="I37" s="245"/>
      <c r="J37" s="243"/>
      <c r="K37" s="247"/>
    </row>
    <row r="38" spans="2:11" s="252" customFormat="1" ht="17.25" customHeight="1">
      <c r="B38" s="208"/>
      <c r="C38" s="968" t="str">
        <f>IF(ISBLANK(B38),"",_xlfn.XLOOKUP(B38,tblConsommables[Article],tblConsommables[Fournisseur],""))</f>
        <v/>
      </c>
      <c r="D38" s="969" t="str">
        <f>IF(ISBLANK(B38),"",_xlfn.XLOOKUP(B38,tblConsommables[Article],tblConsommables[Unité conditionnement],""))</f>
        <v/>
      </c>
      <c r="E38" s="970" t="str">
        <f>IF(ISBLANK(B38),"",_xlfn.XLOOKUP(B38,tblConsommables[Article],tblConsommables[Coût d''achat HTVA  à l''unité],""))</f>
        <v/>
      </c>
      <c r="F38" s="246"/>
      <c r="G38" s="972" t="str">
        <f t="shared" si="2"/>
        <v/>
      </c>
      <c r="H38" s="6" t="str">
        <f t="shared" si="3"/>
        <v/>
      </c>
      <c r="I38" s="245"/>
      <c r="J38" s="243"/>
      <c r="K38" s="247"/>
    </row>
    <row r="39" spans="2:11" s="252" customFormat="1" ht="17.25" customHeight="1">
      <c r="B39" s="208"/>
      <c r="C39" s="968" t="str">
        <f>IF(ISBLANK(B39),"",_xlfn.XLOOKUP(B39,tblConsommables[Article],tblConsommables[Fournisseur],""))</f>
        <v/>
      </c>
      <c r="D39" s="969" t="str">
        <f>IF(ISBLANK(B39),"",_xlfn.XLOOKUP(B39,tblConsommables[Article],tblConsommables[Unité conditionnement],""))</f>
        <v/>
      </c>
      <c r="E39" s="970" t="str">
        <f>IF(ISBLANK(B39),"",_xlfn.XLOOKUP(B39,tblConsommables[Article],tblConsommables[Coût d''achat HTVA  à l''unité],""))</f>
        <v/>
      </c>
      <c r="F39" s="246"/>
      <c r="G39" s="972" t="str">
        <f t="shared" si="2"/>
        <v/>
      </c>
      <c r="H39" s="6" t="str">
        <f t="shared" si="3"/>
        <v/>
      </c>
      <c r="I39" s="245"/>
      <c r="J39" s="243"/>
      <c r="K39" s="247"/>
    </row>
    <row r="40" spans="2:11" s="252" customFormat="1" ht="17.25" customHeight="1">
      <c r="B40" s="208"/>
      <c r="C40" s="968" t="str">
        <f>IF(ISBLANK(B40),"",_xlfn.XLOOKUP(B40,tblConsommables[Article],tblConsommables[Fournisseur],""))</f>
        <v/>
      </c>
      <c r="D40" s="969" t="str">
        <f>IF(ISBLANK(B40),"",_xlfn.XLOOKUP(B40,tblConsommables[Article],tblConsommables[Unité conditionnement],""))</f>
        <v/>
      </c>
      <c r="E40" s="970" t="str">
        <f>IF(ISBLANK(B40),"",_xlfn.XLOOKUP(B40,tblConsommables[Article],tblConsommables[Coût d''achat HTVA  à l''unité],""))</f>
        <v/>
      </c>
      <c r="F40" s="246"/>
      <c r="G40" s="972" t="str">
        <f t="shared" si="2"/>
        <v/>
      </c>
      <c r="H40" s="6" t="str">
        <f t="shared" si="3"/>
        <v/>
      </c>
      <c r="I40" s="245"/>
      <c r="J40" s="243"/>
      <c r="K40" s="247"/>
    </row>
    <row r="41" spans="2:11" s="252" customFormat="1" ht="17.25" customHeight="1">
      <c r="B41" s="208"/>
      <c r="C41" s="968" t="str">
        <f>IF(ISBLANK(B41),"",_xlfn.XLOOKUP(B41,tblConsommables[Article],tblConsommables[Fournisseur],""))</f>
        <v/>
      </c>
      <c r="D41" s="969" t="str">
        <f>IF(ISBLANK(B41),"",_xlfn.XLOOKUP(B41,tblConsommables[Article],tblConsommables[Unité conditionnement],""))</f>
        <v/>
      </c>
      <c r="E41" s="970" t="str">
        <f>IF(ISBLANK(B41),"",_xlfn.XLOOKUP(B41,tblConsommables[Article],tblConsommables[Coût d''achat HTVA  à l''unité],""))</f>
        <v/>
      </c>
      <c r="F41" s="246"/>
      <c r="G41" s="972" t="str">
        <f t="shared" si="2"/>
        <v/>
      </c>
      <c r="H41" s="6" t="str">
        <f t="shared" si="3"/>
        <v/>
      </c>
      <c r="I41" s="245"/>
      <c r="J41" s="243"/>
      <c r="K41" s="247"/>
    </row>
    <row r="42" spans="2:11" s="252" customFormat="1" ht="17.25" customHeight="1" thickBot="1">
      <c r="B42" s="208"/>
      <c r="C42" s="968" t="str">
        <f>IF(ISBLANK(B42),"",_xlfn.XLOOKUP(B42,tblConsommables[Article],tblConsommables[Fournisseur],""))</f>
        <v/>
      </c>
      <c r="D42" s="969" t="str">
        <f>IF(ISBLANK(B42),"",_xlfn.XLOOKUP(B42,tblConsommables[Article],tblConsommables[Unité conditionnement],""))</f>
        <v/>
      </c>
      <c r="E42" s="970" t="str">
        <f>IF(ISBLANK(B42),"",_xlfn.XLOOKUP(B42,tblConsommables[Article],tblConsommables[Coût d''achat HTVA  à l''unité],""))</f>
        <v/>
      </c>
      <c r="F42" s="248"/>
      <c r="G42" s="972" t="str">
        <f t="shared" si="2"/>
        <v/>
      </c>
      <c r="H42" s="6" t="str">
        <f t="shared" si="3"/>
        <v/>
      </c>
      <c r="I42" s="245"/>
      <c r="J42" s="243"/>
      <c r="K42" s="247"/>
    </row>
    <row r="43" spans="2:11" s="252" customFormat="1" ht="17.25" customHeight="1" thickBot="1">
      <c r="B43" s="958" t="s">
        <v>31</v>
      </c>
      <c r="C43" s="959"/>
      <c r="D43" s="959"/>
      <c r="E43" s="959"/>
      <c r="F43" s="959"/>
      <c r="G43" s="960">
        <f>SUM(G34:G42)</f>
        <v>72.303000000000011</v>
      </c>
      <c r="H43" s="961">
        <f>IF(G43="","",G43/G$45)</f>
        <v>0.27414389985935073</v>
      </c>
      <c r="I43" s="962"/>
      <c r="J43" s="962"/>
      <c r="K43" s="962"/>
    </row>
    <row r="44" spans="2:11" s="252" customFormat="1" ht="17.25" customHeight="1">
      <c r="B44" s="958" t="s">
        <v>180</v>
      </c>
      <c r="C44" s="959"/>
      <c r="D44" s="959"/>
      <c r="E44" s="959"/>
      <c r="F44" s="959"/>
      <c r="G44" s="963">
        <f>J73</f>
        <v>1.4593</v>
      </c>
      <c r="H44" s="961">
        <f>IF(G44="","",G44/G$45)</f>
        <v>5.5330787528145515E-3</v>
      </c>
      <c r="I44" s="964"/>
      <c r="J44" s="962"/>
      <c r="K44" s="962"/>
    </row>
    <row r="45" spans="2:11" s="252" customFormat="1" ht="17.25" customHeight="1">
      <c r="B45" s="249" t="s">
        <v>273</v>
      </c>
      <c r="C45" s="250"/>
      <c r="D45" s="250"/>
      <c r="E45" s="250"/>
      <c r="F45" s="251"/>
      <c r="G45" s="973">
        <f>SUM(G33,G43,G44)</f>
        <v>263.74104999999997</v>
      </c>
      <c r="H45" s="7">
        <f>IF(G45="","",G45/G$45)</f>
        <v>1</v>
      </c>
    </row>
    <row r="46" spans="2:11" s="252" customFormat="1" ht="17.25" customHeight="1">
      <c r="B46" s="220" t="s">
        <v>274</v>
      </c>
      <c r="C46" s="253"/>
      <c r="D46" s="253"/>
      <c r="E46" s="253"/>
      <c r="F46" s="254"/>
      <c r="G46" s="973">
        <f>G45/D8</f>
        <v>1.1721824444444444</v>
      </c>
      <c r="H46" s="255"/>
    </row>
    <row r="47" spans="2:11" s="252" customFormat="1" ht="17.25" customHeight="1">
      <c r="H47" s="256"/>
    </row>
    <row r="48" spans="2:11" s="252" customFormat="1" ht="17.25" customHeight="1">
      <c r="B48" s="431" t="s">
        <v>275</v>
      </c>
      <c r="C48" s="432"/>
      <c r="D48" s="432"/>
      <c r="E48" s="432"/>
      <c r="F48" s="432"/>
      <c r="G48" s="433"/>
      <c r="H48" s="257"/>
      <c r="I48" s="431" t="s">
        <v>26</v>
      </c>
      <c r="J48" s="432"/>
      <c r="K48" s="433"/>
    </row>
    <row r="49" spans="2:17" s="252" customFormat="1" ht="17.25" customHeight="1">
      <c r="B49" s="220" t="s">
        <v>276</v>
      </c>
      <c r="C49" s="258"/>
      <c r="D49" s="258"/>
      <c r="E49" s="259"/>
      <c r="F49" s="260"/>
      <c r="G49" s="974">
        <f>D10</f>
        <v>4.0599999999999996</v>
      </c>
      <c r="H49" s="261"/>
      <c r="I49" s="220" t="s">
        <v>9</v>
      </c>
      <c r="J49" s="254"/>
      <c r="K49" s="974">
        <f>G10</f>
        <v>4.6698113207547172</v>
      </c>
    </row>
    <row r="50" spans="2:17" s="252" customFormat="1" ht="17.25" customHeight="1">
      <c r="B50" s="220" t="s">
        <v>277</v>
      </c>
      <c r="C50" s="258"/>
      <c r="D50" s="258"/>
      <c r="E50" s="253"/>
      <c r="F50" s="262"/>
      <c r="G50" s="975">
        <f>G49-G46</f>
        <v>2.8878175555555554</v>
      </c>
      <c r="H50" s="263"/>
      <c r="I50" s="220" t="s">
        <v>10</v>
      </c>
      <c r="J50" s="254"/>
      <c r="K50" s="975">
        <f>K49-G46</f>
        <v>3.497628876310273</v>
      </c>
    </row>
    <row r="51" spans="2:17" s="252" customFormat="1" ht="17.25" customHeight="1">
      <c r="B51" s="220" t="s">
        <v>378</v>
      </c>
      <c r="C51" s="258"/>
      <c r="D51" s="258"/>
      <c r="E51" s="253"/>
      <c r="F51" s="260"/>
      <c r="G51" s="975">
        <f>G50*$D8</f>
        <v>649.75894999999991</v>
      </c>
      <c r="H51" s="263"/>
      <c r="I51" s="220" t="s">
        <v>378</v>
      </c>
      <c r="J51" s="254"/>
      <c r="K51" s="975">
        <f>K50*$D8</f>
        <v>786.96649716981142</v>
      </c>
    </row>
    <row r="52" spans="2:17" s="252" customFormat="1" ht="17.25" customHeight="1">
      <c r="B52" s="220" t="s">
        <v>379</v>
      </c>
      <c r="C52" s="258"/>
      <c r="D52" s="258"/>
      <c r="E52" s="253"/>
      <c r="F52" s="260"/>
      <c r="G52" s="975">
        <f>G51/($C73*(1/60))</f>
        <v>135.36644791666666</v>
      </c>
      <c r="H52" s="263"/>
      <c r="I52" s="220" t="s">
        <v>379</v>
      </c>
      <c r="J52" s="254"/>
      <c r="K52" s="975">
        <f>K51/($C73*(1/60))</f>
        <v>163.95135357704405</v>
      </c>
    </row>
    <row r="53" spans="2:17" s="252" customFormat="1" ht="17.25" customHeight="1">
      <c r="B53" s="220" t="s">
        <v>278</v>
      </c>
      <c r="C53" s="258"/>
      <c r="D53" s="258"/>
      <c r="E53" s="253"/>
      <c r="F53" s="260"/>
      <c r="G53" s="8">
        <f>G50/$G$46</f>
        <v>2.4636246424286243</v>
      </c>
      <c r="H53" s="264"/>
      <c r="I53" s="220" t="s">
        <v>11</v>
      </c>
      <c r="J53" s="254"/>
      <c r="K53" s="8">
        <f>K50/$G$46</f>
        <v>2.9838604842507888</v>
      </c>
    </row>
    <row r="54" spans="2:17" s="252" customFormat="1" ht="17.25" customHeight="1" thickBot="1">
      <c r="B54" s="220" t="s">
        <v>12</v>
      </c>
      <c r="C54" s="258"/>
      <c r="D54" s="258"/>
      <c r="E54" s="253"/>
      <c r="F54" s="260"/>
      <c r="G54" s="976">
        <f>G49/$G$46</f>
        <v>3.4636246424286243</v>
      </c>
      <c r="H54" s="261"/>
      <c r="I54" s="220" t="s">
        <v>12</v>
      </c>
      <c r="J54" s="254"/>
      <c r="K54" s="976">
        <f>K49/$G$46</f>
        <v>3.9838604842507883</v>
      </c>
    </row>
    <row r="55" spans="2:17" ht="13.8">
      <c r="B55" s="220" t="s">
        <v>13</v>
      </c>
      <c r="C55" s="258"/>
      <c r="D55" s="258"/>
      <c r="E55" s="265"/>
      <c r="F55" s="266"/>
      <c r="G55" s="9">
        <f>G46/G49</f>
        <v>0.28871488779419818</v>
      </c>
      <c r="I55" s="220" t="s">
        <v>13</v>
      </c>
      <c r="J55" s="254"/>
      <c r="K55" s="9">
        <f>G46/K49</f>
        <v>0.25101280628507294</v>
      </c>
      <c r="L55" s="252"/>
      <c r="M55" s="252"/>
      <c r="N55" s="252"/>
      <c r="O55" s="252"/>
      <c r="P55" s="252"/>
      <c r="Q55" s="252"/>
    </row>
    <row r="56" spans="2:17" ht="14.4" thickBot="1">
      <c r="B56" s="220" t="s">
        <v>371</v>
      </c>
      <c r="F56" s="267"/>
      <c r="G56" s="34">
        <f ca="1">'4. CHARGES FIXES'!J18/(1-G55)</f>
        <v>29865.873899911589</v>
      </c>
      <c r="I56" s="220" t="s">
        <v>373</v>
      </c>
      <c r="K56" s="34">
        <f ca="1">'4. CHARGES FIXES'!J18/(1-K55)</f>
        <v>28362.502918986254</v>
      </c>
      <c r="L56" s="252"/>
      <c r="M56" s="252"/>
      <c r="N56" s="252"/>
      <c r="O56" s="252"/>
      <c r="P56" s="252"/>
      <c r="Q56" s="252"/>
    </row>
    <row r="57" spans="2:17" ht="14.4" thickBot="1">
      <c r="B57" s="268" t="s">
        <v>372</v>
      </c>
      <c r="F57" s="267"/>
      <c r="G57" s="977">
        <f ca="1">G56/G49</f>
        <v>7356.1265763329047</v>
      </c>
      <c r="I57" s="220" t="s">
        <v>374</v>
      </c>
      <c r="K57" s="977">
        <f ca="1">K56/K49</f>
        <v>6073.5864836617029</v>
      </c>
      <c r="L57" s="252"/>
      <c r="M57" s="252"/>
      <c r="N57" s="252"/>
      <c r="O57" s="252"/>
      <c r="P57" s="252"/>
      <c r="Q57" s="252"/>
    </row>
    <row r="58" spans="2:17" ht="14.4" thickBot="1">
      <c r="F58" s="267"/>
      <c r="K58" s="252"/>
      <c r="L58" s="252"/>
      <c r="M58" s="252"/>
      <c r="N58" s="252"/>
      <c r="O58" s="252"/>
      <c r="P58" s="252"/>
      <c r="Q58" s="252"/>
    </row>
    <row r="59" spans="2:17" ht="13.8">
      <c r="B59" s="436" t="s">
        <v>279</v>
      </c>
      <c r="C59" s="437"/>
      <c r="D59" s="437"/>
      <c r="E59" s="437"/>
      <c r="F59" s="437"/>
      <c r="G59" s="437"/>
      <c r="H59" s="437"/>
      <c r="I59" s="437"/>
      <c r="J59" s="438"/>
      <c r="K59" s="252"/>
      <c r="L59" s="252"/>
      <c r="M59" s="252"/>
      <c r="N59" s="252"/>
      <c r="O59" s="252"/>
      <c r="P59" s="252"/>
      <c r="Q59" s="252"/>
    </row>
    <row r="60" spans="2:17" ht="13.8">
      <c r="B60" s="269" t="s">
        <v>41</v>
      </c>
      <c r="C60" s="269" t="s">
        <v>280</v>
      </c>
      <c r="D60" s="269" t="s">
        <v>168</v>
      </c>
      <c r="E60" s="269" t="s">
        <v>282</v>
      </c>
      <c r="F60" s="269" t="s">
        <v>169</v>
      </c>
      <c r="G60" s="269" t="s">
        <v>172</v>
      </c>
      <c r="H60" s="269" t="s">
        <v>170</v>
      </c>
      <c r="I60" s="269" t="s">
        <v>174</v>
      </c>
      <c r="J60" s="269" t="s">
        <v>179</v>
      </c>
    </row>
    <row r="61" spans="2:17" ht="13.8">
      <c r="B61" s="270" t="s">
        <v>46</v>
      </c>
      <c r="C61" s="271">
        <v>20</v>
      </c>
      <c r="D61" s="271">
        <v>0</v>
      </c>
      <c r="E61" s="978">
        <f>C61+D61</f>
        <v>20</v>
      </c>
      <c r="F61" s="271"/>
      <c r="G61" s="271"/>
      <c r="H61" s="978">
        <f t="shared" ref="H61:H62" si="4">G61*D61/60</f>
        <v>0</v>
      </c>
      <c r="I61" s="272"/>
      <c r="J61" s="979" cm="1">
        <f t="array" ref="J61">_xlfn.IFS(I61=Listes!$C$2,'1. DONNEES DE BASE'!$B$2*H61,'FT_PROD (7)'!I61=Listes!$C$3,'1. DONNEES DE BASE'!$B$3*'FT_PROD (7)'!H61,TRUE,0)</f>
        <v>0</v>
      </c>
    </row>
    <row r="62" spans="2:17" ht="13.8">
      <c r="B62" s="270" t="s">
        <v>45</v>
      </c>
      <c r="C62" s="271">
        <v>120</v>
      </c>
      <c r="D62" s="271">
        <v>0</v>
      </c>
      <c r="E62" s="978">
        <f t="shared" ref="E62:E72" si="5">C62+D62</f>
        <v>120</v>
      </c>
      <c r="F62" s="271"/>
      <c r="G62" s="271"/>
      <c r="H62" s="978">
        <f t="shared" si="4"/>
        <v>0</v>
      </c>
      <c r="I62" s="272"/>
      <c r="J62" s="979" cm="1">
        <f t="array" ref="J62">_xlfn.IFS(I62=Listes!$C$2,'1. DONNEES DE BASE'!$B$2*H62,'FT_PROD (7)'!I62=Listes!$C$3,'1. DONNEES DE BASE'!$B$3*'FT_PROD (7)'!H62,TRUE,0)</f>
        <v>0</v>
      </c>
    </row>
    <row r="63" spans="2:17" ht="13.8">
      <c r="B63" s="270" t="s">
        <v>42</v>
      </c>
      <c r="C63" s="271">
        <v>10</v>
      </c>
      <c r="D63" s="273">
        <v>120</v>
      </c>
      <c r="E63" s="978">
        <f t="shared" si="5"/>
        <v>130</v>
      </c>
      <c r="F63" s="271" t="s">
        <v>173</v>
      </c>
      <c r="G63" s="271">
        <v>3</v>
      </c>
      <c r="H63" s="978">
        <f>G63*D63/60</f>
        <v>6</v>
      </c>
      <c r="I63" s="272" t="s">
        <v>175</v>
      </c>
      <c r="J63" s="979" cm="1">
        <f t="array" ref="J63">_xlfn.IFS(I63=Listes!$C$2,'1. DONNEES DE BASE'!$B$2*H63,'FT_PROD (7)'!I63=Listes!$C$3,'1. DONNEES DE BASE'!$B$3*'FT_PROD (7)'!H63,TRUE,0)</f>
        <v>0.48180000000000001</v>
      </c>
    </row>
    <row r="64" spans="2:17" ht="13.8">
      <c r="B64" s="270" t="s">
        <v>43</v>
      </c>
      <c r="C64" s="271">
        <v>3</v>
      </c>
      <c r="D64" s="271">
        <v>0</v>
      </c>
      <c r="E64" s="978">
        <f t="shared" si="5"/>
        <v>3</v>
      </c>
      <c r="F64" s="271"/>
      <c r="G64" s="271"/>
      <c r="H64" s="978">
        <f t="shared" ref="H64:H72" si="6">G64*D64/60</f>
        <v>0</v>
      </c>
      <c r="I64" s="272"/>
      <c r="J64" s="979" cm="1">
        <f t="array" ref="J64">_xlfn.IFS(I64=Listes!$C$2,'1. DONNEES DE BASE'!$B$2*H64,'FT_PROD (7)'!I64=Listes!$C$3,'1. DONNEES DE BASE'!$B$3*'FT_PROD (7)'!H64,TRUE,0)</f>
        <v>0</v>
      </c>
    </row>
    <row r="65" spans="2:10" ht="13.8">
      <c r="B65" s="270" t="s">
        <v>44</v>
      </c>
      <c r="C65" s="271">
        <v>15</v>
      </c>
      <c r="D65" s="273">
        <v>120</v>
      </c>
      <c r="E65" s="978">
        <f t="shared" si="5"/>
        <v>135</v>
      </c>
      <c r="F65" s="271"/>
      <c r="G65" s="271">
        <v>2</v>
      </c>
      <c r="H65" s="978">
        <f t="shared" si="6"/>
        <v>4</v>
      </c>
      <c r="I65" s="272" t="s">
        <v>176</v>
      </c>
      <c r="J65" s="979" cm="1">
        <f t="array" ref="J65">_xlfn.IFS(I65=Listes!$C$2,'1. DONNEES DE BASE'!$B$2*H65,'FT_PROD (7)'!I65=Listes!$C$3,'1. DONNEES DE BASE'!$B$3*'FT_PROD (7)'!H65,TRUE,0)</f>
        <v>0.8</v>
      </c>
    </row>
    <row r="66" spans="2:10" ht="13.8">
      <c r="B66" s="270" t="s">
        <v>27</v>
      </c>
      <c r="C66" s="271">
        <v>120</v>
      </c>
      <c r="D66" s="271">
        <v>0</v>
      </c>
      <c r="E66" s="978">
        <f t="shared" si="5"/>
        <v>120</v>
      </c>
      <c r="F66" s="271"/>
      <c r="G66" s="271"/>
      <c r="H66" s="978">
        <f t="shared" si="6"/>
        <v>0</v>
      </c>
      <c r="I66" s="272"/>
      <c r="J66" s="979" cm="1">
        <f t="array" ref="J66">_xlfn.IFS(I66=Listes!$C$2,'1. DONNEES DE BASE'!$B$2*H66,'FT_PROD (7)'!I66=Listes!$C$3,'1. DONNEES DE BASE'!$B$3*'FT_PROD (7)'!H66,TRUE,0)</f>
        <v>0</v>
      </c>
    </row>
    <row r="67" spans="2:10" ht="13.8">
      <c r="B67" s="274" t="s">
        <v>167</v>
      </c>
      <c r="C67" s="271">
        <v>0</v>
      </c>
      <c r="D67" s="271">
        <v>0</v>
      </c>
      <c r="E67" s="978">
        <f t="shared" si="5"/>
        <v>0</v>
      </c>
      <c r="F67" s="271"/>
      <c r="G67" s="271"/>
      <c r="H67" s="978">
        <f t="shared" si="6"/>
        <v>0</v>
      </c>
      <c r="I67" s="272"/>
      <c r="J67" s="979" cm="1">
        <f t="array" ref="J67">_xlfn.IFS(I67=Listes!$C$2,'1. DONNEES DE BASE'!$B$2*H67,'FT_PROD (7)'!I67=Listes!$C$3,'1. DONNEES DE BASE'!$B$3*'FT_PROD (7)'!H67,TRUE,0)</f>
        <v>0</v>
      </c>
    </row>
    <row r="68" spans="2:10" ht="13.8">
      <c r="B68" s="274" t="s">
        <v>48</v>
      </c>
      <c r="C68" s="271">
        <v>0</v>
      </c>
      <c r="D68" s="271">
        <v>15</v>
      </c>
      <c r="E68" s="978">
        <f t="shared" si="5"/>
        <v>15</v>
      </c>
      <c r="F68" s="271" t="s">
        <v>171</v>
      </c>
      <c r="G68" s="271">
        <v>3.55</v>
      </c>
      <c r="H68" s="978">
        <f t="shared" si="6"/>
        <v>0.88749999999999996</v>
      </c>
      <c r="I68" s="272" t="s">
        <v>176</v>
      </c>
      <c r="J68" s="979" cm="1">
        <f t="array" ref="J68">_xlfn.IFS(I68=Listes!$C$2,'1. DONNEES DE BASE'!$B$2*H68,'FT_PROD (7)'!I68=Listes!$C$3,'1. DONNEES DE BASE'!$B$3*'FT_PROD (7)'!H68,TRUE,0)</f>
        <v>0.17749999999999999</v>
      </c>
    </row>
    <row r="69" spans="2:10" ht="13.8">
      <c r="B69" s="274" t="s">
        <v>283</v>
      </c>
      <c r="C69" s="271">
        <v>0</v>
      </c>
      <c r="D69" s="271">
        <v>0</v>
      </c>
      <c r="E69" s="978">
        <f t="shared" si="5"/>
        <v>0</v>
      </c>
      <c r="F69" s="271"/>
      <c r="G69" s="271"/>
      <c r="H69" s="978">
        <f t="shared" si="6"/>
        <v>0</v>
      </c>
      <c r="I69" s="272"/>
      <c r="J69" s="979" cm="1">
        <f t="array" ref="J69">_xlfn.IFS(I69=Listes!$C$2,'1. DONNEES DE BASE'!$B$2*H69,'FT_PROD (7)'!I69=Listes!$C$3,'1. DONNEES DE BASE'!$B$3*'FT_PROD (7)'!H69,TRUE,0)</f>
        <v>0</v>
      </c>
    </row>
    <row r="70" spans="2:10" ht="13.8">
      <c r="B70" s="274" t="s">
        <v>284</v>
      </c>
      <c r="C70" s="271">
        <v>0</v>
      </c>
      <c r="D70" s="271">
        <v>0</v>
      </c>
      <c r="E70" s="978">
        <f t="shared" si="5"/>
        <v>0</v>
      </c>
      <c r="F70" s="271"/>
      <c r="G70" s="271"/>
      <c r="H70" s="978">
        <f t="shared" si="6"/>
        <v>0</v>
      </c>
      <c r="I70" s="272"/>
      <c r="J70" s="979" cm="1">
        <f t="array" ref="J70">_xlfn.IFS(I70=Listes!$C$2,'1. DONNEES DE BASE'!$B$2*H70,'FT_PROD (7)'!I70=Listes!$C$3,'1. DONNEES DE BASE'!$B$3*'FT_PROD (7)'!H70,TRUE,0)</f>
        <v>0</v>
      </c>
    </row>
    <row r="71" spans="2:10" ht="13.8">
      <c r="B71" s="274" t="s">
        <v>285</v>
      </c>
      <c r="C71" s="271">
        <v>0</v>
      </c>
      <c r="D71" s="271">
        <v>0</v>
      </c>
      <c r="E71" s="978">
        <f t="shared" si="5"/>
        <v>0</v>
      </c>
      <c r="F71" s="271"/>
      <c r="G71" s="271"/>
      <c r="H71" s="978">
        <f t="shared" si="6"/>
        <v>0</v>
      </c>
      <c r="I71" s="272"/>
      <c r="J71" s="979" cm="1">
        <f t="array" ref="J71">_xlfn.IFS(I71=Listes!$C$2,'1. DONNEES DE BASE'!$B$2*H71,'FT_PROD (7)'!I71=Listes!$C$3,'1. DONNEES DE BASE'!$B$3*'FT_PROD (7)'!H71,TRUE,0)</f>
        <v>0</v>
      </c>
    </row>
    <row r="72" spans="2:10" ht="13.8">
      <c r="B72" s="274" t="s">
        <v>286</v>
      </c>
      <c r="C72" s="271">
        <v>0</v>
      </c>
      <c r="D72" s="271">
        <v>0</v>
      </c>
      <c r="E72" s="978">
        <f t="shared" si="5"/>
        <v>0</v>
      </c>
      <c r="F72" s="271"/>
      <c r="G72" s="271"/>
      <c r="H72" s="978">
        <f t="shared" si="6"/>
        <v>0</v>
      </c>
      <c r="I72" s="272"/>
      <c r="J72" s="979" cm="1">
        <f t="array" ref="J72">_xlfn.IFS(I72=Listes!$C$2,'1. DONNEES DE BASE'!$B$2*H72,'FT_PROD (7)'!I72=Listes!$C$3,'1. DONNEES DE BASE'!$B$3*'FT_PROD (7)'!H72,TRUE,0)</f>
        <v>0</v>
      </c>
    </row>
    <row r="73" spans="2:10" ht="14.4" thickBot="1">
      <c r="B73" s="980" t="s">
        <v>47</v>
      </c>
      <c r="C73" s="981">
        <f>SUM(C61:C72)</f>
        <v>288</v>
      </c>
      <c r="D73" s="981">
        <f>SUM(D61:D72)</f>
        <v>255</v>
      </c>
      <c r="E73" s="981">
        <f>SUM(E61:E72)</f>
        <v>543</v>
      </c>
      <c r="F73" s="981"/>
      <c r="G73" s="981"/>
      <c r="H73" s="981">
        <f>SUM(H61:H72)</f>
        <v>10.887499999999999</v>
      </c>
      <c r="I73" s="981"/>
      <c r="J73" s="10">
        <f>SUMIF(J61:J72,"&lt;&gt;#N/A")</f>
        <v>1.4593</v>
      </c>
    </row>
    <row r="76" spans="2:10">
      <c r="B76" s="275" t="s">
        <v>497</v>
      </c>
      <c r="C76" s="275"/>
    </row>
    <row r="77" spans="2:10">
      <c r="B77" s="276" t="s">
        <v>498</v>
      </c>
      <c r="C77" s="982">
        <f>SUMIFS(G17:G32,C17:C32,"Auto")</f>
        <v>175</v>
      </c>
    </row>
    <row r="78" spans="2:10">
      <c r="B78" s="276" t="s">
        <v>499</v>
      </c>
      <c r="C78" s="983">
        <f>C77/D8</f>
        <v>0.77777777777777779</v>
      </c>
    </row>
  </sheetData>
  <sheetProtection algorithmName="SHA-512" hashValue="w6w5Dv/EhGjxwHjDgVXYSaILQzo8145LyhQnSU00OurljAgq/K5lNz24Xo0tB+acmcYhTdYeDCEBnvI/KZb1gA==" saltValue="lmE7mZ4fEHbdKXUqmhG18g==" spinCount="100000" sheet="1" objects="1" scenarios="1" formatCells="0" formatColumns="0" formatRows="0" insertRows="0" insertHyperlinks="0" sort="0" autoFilter="0" pivotTables="0"/>
  <protectedRanges>
    <protectedRange sqref="I61:I72" name="TYpe energie"/>
    <protectedRange sqref="C2:C3 D5:D6 D8 D10:D11 G11:G12" name="Données de base"/>
    <protectedRange sqref="I17:K32 I34:K42 B34:F42 B17:F32" name="Ingred et consommables"/>
    <protectedRange sqref="B61:D72 F61:G72" name="Energie et travail"/>
  </protectedRanges>
  <mergeCells count="17">
    <mergeCell ref="B33:F33"/>
    <mergeCell ref="H4:J4"/>
    <mergeCell ref="H5:J5"/>
    <mergeCell ref="H6:J6"/>
    <mergeCell ref="H7:J7"/>
    <mergeCell ref="H8:J8"/>
    <mergeCell ref="H9:J9"/>
    <mergeCell ref="H10:J10"/>
    <mergeCell ref="H11:J11"/>
    <mergeCell ref="H12:J12"/>
    <mergeCell ref="H13:J13"/>
    <mergeCell ref="I16:K16"/>
    <mergeCell ref="B43:F43"/>
    <mergeCell ref="B44:F44"/>
    <mergeCell ref="B48:G48"/>
    <mergeCell ref="I48:K48"/>
    <mergeCell ref="B59:J59"/>
  </mergeCells>
  <dataValidations count="2">
    <dataValidation type="list" allowBlank="1" showInputMessage="1" showErrorMessage="1" errorTitle="Ingrédient invalide" error="Veuillez sélectionner un ingrédient dans la liste." sqref="B17:B32" xr:uid="{2FAA1005-3DFE-49BA-B8E2-846D080C28A6}">
      <formula1>ListeIngredients</formula1>
    </dataValidation>
    <dataValidation type="list" allowBlank="1" showInputMessage="1" showErrorMessage="1" errorTitle="Consommable invalide" error="Veuillez sélectionner un consommable dans la liste." sqref="B34:B42" xr:uid="{CA404E1E-E9FF-4223-B8A3-DABB64268E53}">
      <formula1>ListeConsommables</formula1>
    </dataValidation>
  </dataValidations>
  <pageMargins left="0.39370078740157483" right="0.39370078740157483" top="0.39370078740157483" bottom="0.39370078740157483" header="0.51181102362204722" footer="0.51181102362204722"/>
  <pageSetup paperSize="9" scale="65"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A419F160-5CD3-454F-A3D2-0E58298D87C9}">
          <x14:formula1>
            <xm:f>Listes!$C$2:$C$5</xm:f>
          </x14:formula1>
          <xm:sqref>I61:I63 I65:I72</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DC59E-7A5C-4B09-87B2-9C7F1F135D4A}">
  <sheetPr>
    <pageSetUpPr fitToPage="1"/>
  </sheetPr>
  <dimension ref="B1:Q78"/>
  <sheetViews>
    <sheetView showGridLines="0" zoomScale="85" zoomScaleNormal="85" workbookViewId="0">
      <selection activeCell="C4" sqref="C4"/>
    </sheetView>
  </sheetViews>
  <sheetFormatPr baseColWidth="10" defaultColWidth="11.44140625" defaultRowHeight="13.2"/>
  <cols>
    <col min="1" max="1" width="1.44140625" style="219" customWidth="1"/>
    <col min="2" max="2" width="23.109375" style="219" customWidth="1"/>
    <col min="3" max="3" width="20" style="219" customWidth="1"/>
    <col min="4" max="4" width="19" style="219" customWidth="1"/>
    <col min="5" max="5" width="13.6640625" style="219" bestFit="1" customWidth="1"/>
    <col min="6" max="6" width="23.21875" style="219" customWidth="1"/>
    <col min="7" max="7" width="14.5546875" style="219" customWidth="1"/>
    <col min="8" max="8" width="14.109375" style="219" customWidth="1"/>
    <col min="9" max="9" width="17.33203125" style="219" customWidth="1"/>
    <col min="10" max="10" width="16.6640625" style="219" customWidth="1"/>
    <col min="11" max="11" width="12.109375" style="219" customWidth="1"/>
    <col min="12" max="16384" width="11.44140625" style="219"/>
  </cols>
  <sheetData>
    <row r="1" spans="2:11" ht="47.25" customHeight="1">
      <c r="B1" s="216" t="s">
        <v>37</v>
      </c>
      <c r="C1" s="217"/>
      <c r="D1" s="217"/>
      <c r="E1" s="217"/>
      <c r="F1" s="217"/>
      <c r="G1" s="217"/>
      <c r="H1" s="217"/>
      <c r="I1" s="217"/>
      <c r="J1" s="218"/>
    </row>
    <row r="2" spans="2:11" ht="16.2" customHeight="1">
      <c r="B2" s="220" t="s">
        <v>39</v>
      </c>
      <c r="C2" s="221" t="s">
        <v>524</v>
      </c>
      <c r="D2" s="222"/>
      <c r="E2" s="223"/>
      <c r="F2" s="217"/>
      <c r="G2" s="217"/>
      <c r="H2" s="217"/>
      <c r="I2" s="217"/>
    </row>
    <row r="3" spans="2:11" ht="18.75" customHeight="1">
      <c r="B3" s="220" t="s">
        <v>23</v>
      </c>
      <c r="C3" s="221" t="s">
        <v>525</v>
      </c>
      <c r="D3" s="222"/>
      <c r="E3" s="223"/>
      <c r="F3" s="217"/>
      <c r="G3" s="217"/>
      <c r="H3" s="217"/>
      <c r="I3" s="217"/>
    </row>
    <row r="4" spans="2:11" ht="18.75" customHeight="1">
      <c r="B4" s="224"/>
      <c r="C4" s="217"/>
      <c r="D4" s="217"/>
      <c r="F4" s="217"/>
      <c r="G4" s="217"/>
      <c r="H4" s="434" t="s">
        <v>287</v>
      </c>
      <c r="I4" s="434"/>
      <c r="J4" s="434"/>
    </row>
    <row r="5" spans="2:11" ht="19.95" customHeight="1">
      <c r="B5" s="220" t="s">
        <v>265</v>
      </c>
      <c r="C5" s="225"/>
      <c r="D5" s="226">
        <v>50</v>
      </c>
      <c r="E5" s="227"/>
      <c r="F5" s="228"/>
      <c r="G5" s="229"/>
      <c r="H5" s="435" t="s">
        <v>266</v>
      </c>
      <c r="I5" s="428"/>
      <c r="J5" s="428"/>
    </row>
    <row r="6" spans="2:11" ht="19.95" customHeight="1">
      <c r="B6" s="220" t="s">
        <v>267</v>
      </c>
      <c r="C6" s="225"/>
      <c r="D6" s="230">
        <v>0.2</v>
      </c>
      <c r="E6" s="227"/>
      <c r="F6" s="228"/>
      <c r="G6" s="229"/>
      <c r="H6" s="428"/>
      <c r="I6" s="428"/>
      <c r="J6" s="428"/>
    </row>
    <row r="7" spans="2:11" ht="19.95" customHeight="1">
      <c r="B7" s="220" t="s">
        <v>35</v>
      </c>
      <c r="C7" s="225"/>
      <c r="D7" s="965">
        <f>D5/D6</f>
        <v>250</v>
      </c>
      <c r="E7" s="227"/>
      <c r="F7" s="228"/>
      <c r="G7" s="229"/>
      <c r="H7" s="428"/>
      <c r="I7" s="428"/>
      <c r="J7" s="428"/>
    </row>
    <row r="8" spans="2:11" ht="19.95" customHeight="1">
      <c r="B8" s="220" t="s">
        <v>36</v>
      </c>
      <c r="C8" s="225"/>
      <c r="D8" s="230">
        <v>225</v>
      </c>
      <c r="E8" s="227"/>
      <c r="F8" s="228"/>
      <c r="G8" s="229"/>
      <c r="H8" s="428" t="s">
        <v>268</v>
      </c>
      <c r="I8" s="428"/>
      <c r="J8" s="428"/>
    </row>
    <row r="9" spans="2:11" ht="19.95" customHeight="1">
      <c r="B9" s="220" t="s">
        <v>34</v>
      </c>
      <c r="C9" s="225"/>
      <c r="D9" s="4">
        <f>1-(D8/D7)</f>
        <v>9.9999999999999978E-2</v>
      </c>
      <c r="E9" s="227"/>
      <c r="F9" s="228"/>
      <c r="G9" s="229"/>
      <c r="H9" s="428" t="s">
        <v>269</v>
      </c>
      <c r="I9" s="428"/>
      <c r="J9" s="428"/>
    </row>
    <row r="10" spans="2:11" ht="19.95" customHeight="1">
      <c r="B10" s="220" t="s">
        <v>25</v>
      </c>
      <c r="C10" s="225"/>
      <c r="D10" s="231">
        <v>4.0599999999999996</v>
      </c>
      <c r="E10" s="220" t="s">
        <v>32</v>
      </c>
      <c r="F10" s="232"/>
      <c r="G10" s="966">
        <f>G12/(1+G11)</f>
        <v>4.6698113207547172</v>
      </c>
      <c r="H10" s="428"/>
      <c r="I10" s="428"/>
      <c r="J10" s="428"/>
    </row>
    <row r="11" spans="2:11" ht="19.95" customHeight="1">
      <c r="B11" s="220" t="s">
        <v>3</v>
      </c>
      <c r="C11" s="225"/>
      <c r="D11" s="233">
        <v>0.06</v>
      </c>
      <c r="E11" s="220" t="s">
        <v>3</v>
      </c>
      <c r="F11" s="232"/>
      <c r="G11" s="234">
        <v>0.06</v>
      </c>
      <c r="H11" s="428"/>
      <c r="I11" s="428"/>
      <c r="J11" s="428"/>
    </row>
    <row r="12" spans="2:11" ht="19.95" customHeight="1">
      <c r="B12" s="220" t="s">
        <v>33</v>
      </c>
      <c r="C12" s="225"/>
      <c r="D12" s="967">
        <f>D10*(1+D11)</f>
        <v>4.3035999999999994</v>
      </c>
      <c r="E12" s="220" t="s">
        <v>24</v>
      </c>
      <c r="F12" s="232"/>
      <c r="G12" s="235">
        <v>4.95</v>
      </c>
      <c r="H12" s="428"/>
      <c r="I12" s="428"/>
      <c r="J12" s="428"/>
    </row>
    <row r="13" spans="2:11" ht="19.95" customHeight="1">
      <c r="B13" s="220" t="s">
        <v>270</v>
      </c>
      <c r="C13" s="225"/>
      <c r="D13" s="4">
        <f>G10/D10-1</f>
        <v>0.15019983269820636</v>
      </c>
      <c r="E13" s="236"/>
      <c r="F13" s="236"/>
      <c r="G13" s="236"/>
      <c r="H13" s="428" t="s">
        <v>271</v>
      </c>
      <c r="I13" s="428"/>
      <c r="J13" s="428"/>
    </row>
    <row r="14" spans="2:11" ht="18.75" customHeight="1">
      <c r="B14" s="236"/>
      <c r="C14" s="236"/>
      <c r="D14" s="236"/>
      <c r="E14" s="236"/>
      <c r="F14" s="236"/>
      <c r="G14" s="236"/>
      <c r="H14" s="236"/>
      <c r="I14" s="236"/>
    </row>
    <row r="15" spans="2:11" ht="6.75" customHeight="1" thickBot="1"/>
    <row r="16" spans="2:11" s="951" customFormat="1" ht="45" customHeight="1">
      <c r="B16" s="237" t="s">
        <v>4</v>
      </c>
      <c r="C16" s="238" t="s">
        <v>5</v>
      </c>
      <c r="D16" s="239" t="s">
        <v>6</v>
      </c>
      <c r="E16" s="239" t="s">
        <v>7</v>
      </c>
      <c r="F16" s="239" t="s">
        <v>8</v>
      </c>
      <c r="G16" s="239" t="s">
        <v>281</v>
      </c>
      <c r="H16" s="240" t="s">
        <v>30</v>
      </c>
      <c r="I16" s="429" t="s">
        <v>22</v>
      </c>
      <c r="J16" s="429"/>
      <c r="K16" s="430"/>
    </row>
    <row r="17" spans="2:11" s="252" customFormat="1" ht="17.25" customHeight="1">
      <c r="B17" s="208" t="s">
        <v>14</v>
      </c>
      <c r="C17" s="968" t="str">
        <f>IF(ISBLANK(B17),"",_xlfn.XLOOKUP(B17,tblIngredients[Article],tblIngredients[Fournisseur],""))</f>
        <v>Auto</v>
      </c>
      <c r="D17" s="969" t="str">
        <f>IF(ISBLANK(B17),"",_xlfn.XLOOKUP(B17,tblIngredients[Article],tblIngredients[Unité conditionnement],""))</f>
        <v>1 kg</v>
      </c>
      <c r="E17" s="970">
        <f>IF(ISBLANK(B17),"",_xlfn.XLOOKUP(B17,tblIngredients[Article],tblIngredients[Coût d''achat HTVA  à l''unité],""))</f>
        <v>3.5</v>
      </c>
      <c r="F17" s="241">
        <v>50</v>
      </c>
      <c r="G17" s="971">
        <f>IF(OR(F17="",ISBLANK(F17)),"",E17*F17)</f>
        <v>175</v>
      </c>
      <c r="H17" s="5">
        <f>IF(OR(G17="",ISBLANK(G17)),"",G17/G$33)</f>
        <v>0.92115565556674106</v>
      </c>
      <c r="I17" s="242" t="s">
        <v>272</v>
      </c>
      <c r="J17" s="243"/>
      <c r="K17" s="244"/>
    </row>
    <row r="18" spans="2:11" s="252" customFormat="1" ht="17.25" customHeight="1">
      <c r="B18" s="208" t="s">
        <v>15</v>
      </c>
      <c r="C18" s="968" t="str">
        <f>IF(ISBLANK(B18),"",_xlfn.XLOOKUP(B18,tblIngredients[Article],tblIngredients[Fournisseur],""))</f>
        <v>Inbterbio</v>
      </c>
      <c r="D18" s="969" t="str">
        <f>IF(ISBLANK(B18),"",_xlfn.XLOOKUP(B18,tblIngredients[Article],tblIngredients[Unité conditionnement],""))</f>
        <v>1 kg</v>
      </c>
      <c r="E18" s="970">
        <f>IF(ISBLANK(B18),"",_xlfn.XLOOKUP(B18,tblIngredients[Article],tblIngredients[Coût d''achat HTVA  à l''unité],""))</f>
        <v>6</v>
      </c>
      <c r="F18" s="241">
        <v>0.5</v>
      </c>
      <c r="G18" s="971">
        <f t="shared" ref="G18:G32" si="0">IF(OR(F18="",ISBLANK(F18)),"",E18*F18)</f>
        <v>3</v>
      </c>
      <c r="H18" s="5">
        <f t="shared" ref="H18:H32" si="1">IF(OR(G18="",ISBLANK(G18)),"",G18/G$33)</f>
        <v>1.5791239809715561E-2</v>
      </c>
      <c r="I18" s="245"/>
      <c r="J18" s="243"/>
      <c r="K18" s="244"/>
    </row>
    <row r="19" spans="2:11" s="252" customFormat="1" ht="17.25" customHeight="1">
      <c r="B19" s="208" t="s">
        <v>16</v>
      </c>
      <c r="C19" s="968" t="str">
        <f>IF(ISBLANK(B19),"",_xlfn.XLOOKUP(B19,tblIngredients[Article],tblIngredients[Fournisseur],""))</f>
        <v>Interbio</v>
      </c>
      <c r="D19" s="969" t="str">
        <f>IF(ISBLANK(B19),"",_xlfn.XLOOKUP(B19,tblIngredients[Article],tblIngredients[Unité conditionnement],""))</f>
        <v>1 Botte</v>
      </c>
      <c r="E19" s="970">
        <f>IF(ISBLANK(B19),"",_xlfn.XLOOKUP(B19,tblIngredients[Article],tblIngredients[Coût d''achat HTVA  à l''unité],""))</f>
        <v>1.89</v>
      </c>
      <c r="F19" s="241">
        <v>4</v>
      </c>
      <c r="G19" s="971">
        <f t="shared" si="0"/>
        <v>7.56</v>
      </c>
      <c r="H19" s="5">
        <f t="shared" si="1"/>
        <v>3.9793924320483211E-2</v>
      </c>
      <c r="I19" s="245"/>
      <c r="J19" s="243"/>
      <c r="K19" s="244"/>
    </row>
    <row r="20" spans="2:11" s="252" customFormat="1" ht="17.25" customHeight="1">
      <c r="B20" s="208" t="s">
        <v>17</v>
      </c>
      <c r="C20" s="968" t="str">
        <f>IF(ISBLANK(B20),"",_xlfn.XLOOKUP(B20,tblIngredients[Article],tblIngredients[Fournisseur],""))</f>
        <v>Solucious</v>
      </c>
      <c r="D20" s="969" t="str">
        <f>IF(ISBLANK(B20),"",_xlfn.XLOOKUP(B20,tblIngredients[Article],tblIngredients[Unité conditionnement],""))</f>
        <v>1 L</v>
      </c>
      <c r="E20" s="970">
        <f>IF(ISBLANK(B20),"",_xlfn.XLOOKUP(B20,tblIngredients[Article],tblIngredients[Coût d''achat HTVA  à l''unité],""))</f>
        <v>17.649999999999999</v>
      </c>
      <c r="F20" s="241">
        <v>0.25</v>
      </c>
      <c r="G20" s="971">
        <f t="shared" si="0"/>
        <v>4.4124999999999996</v>
      </c>
      <c r="H20" s="5">
        <f t="shared" si="1"/>
        <v>2.3226281886789969E-2</v>
      </c>
      <c r="I20" s="245"/>
      <c r="J20" s="243"/>
      <c r="K20" s="244"/>
    </row>
    <row r="21" spans="2:11" s="252" customFormat="1" ht="17.25" customHeight="1">
      <c r="B21" s="208" t="s">
        <v>359</v>
      </c>
      <c r="C21" s="968" t="str">
        <f>IF(ISBLANK(B21),"",_xlfn.XLOOKUP(B21,tblIngredients[Article],tblIngredients[Fournisseur],""))</f>
        <v>Solucious</v>
      </c>
      <c r="D21" s="969" t="str">
        <f>IF(ISBLANK(B21),"",_xlfn.XLOOKUP(B21,tblIngredients[Article],tblIngredients[Unité conditionnement],""))</f>
        <v>1 Kg</v>
      </c>
      <c r="E21" s="970">
        <f>IF(ISBLANK(B21),"",_xlfn.XLOOKUP(B21,tblIngredients[Article],tblIngredients[Coût d''achat HTVA  à l''unité],""))</f>
        <v>6.25</v>
      </c>
      <c r="F21" s="241">
        <v>1E-3</v>
      </c>
      <c r="G21" s="971">
        <f t="shared" si="0"/>
        <v>6.2500000000000003E-3</v>
      </c>
      <c r="H21" s="5">
        <f t="shared" si="1"/>
        <v>3.2898416270240753E-5</v>
      </c>
      <c r="I21" s="245"/>
      <c r="J21" s="243"/>
      <c r="K21" s="244"/>
    </row>
    <row r="22" spans="2:11" s="252" customFormat="1" ht="17.25" customHeight="1">
      <c r="B22" s="208"/>
      <c r="C22" s="968" t="str">
        <f>IF(ISBLANK(B22),"",_xlfn.XLOOKUP(B22,tblIngredients[Article],tblIngredients[Fournisseur],""))</f>
        <v/>
      </c>
      <c r="D22" s="969" t="str">
        <f>IF(ISBLANK(B22),"",_xlfn.XLOOKUP(B22,tblIngredients[Article],tblIngredients[Unité conditionnement],""))</f>
        <v/>
      </c>
      <c r="E22" s="970" t="str">
        <f>IF(ISBLANK(B22),"",_xlfn.XLOOKUP(B22,tblIngredients[Article],tblIngredients[Coût d''achat HTVA  à l''unité],""))</f>
        <v/>
      </c>
      <c r="F22" s="241"/>
      <c r="G22" s="971" t="str">
        <f t="shared" si="0"/>
        <v/>
      </c>
      <c r="H22" s="5" t="str">
        <f t="shared" si="1"/>
        <v/>
      </c>
      <c r="I22" s="245"/>
      <c r="J22" s="243"/>
      <c r="K22" s="244"/>
    </row>
    <row r="23" spans="2:11" s="252" customFormat="1" ht="17.25" customHeight="1">
      <c r="B23" s="208"/>
      <c r="C23" s="968" t="str">
        <f>IF(ISBLANK(B23),"",_xlfn.XLOOKUP(B23,tblIngredients[Article],tblIngredients[Fournisseur],""))</f>
        <v/>
      </c>
      <c r="D23" s="969" t="str">
        <f>IF(ISBLANK(B23),"",_xlfn.XLOOKUP(B23,tblIngredients[Article],tblIngredients[Unité conditionnement],""))</f>
        <v/>
      </c>
      <c r="E23" s="970" t="str">
        <f>IF(ISBLANK(B23),"",_xlfn.XLOOKUP(B23,tblIngredients[Article],tblIngredients[Coût d''achat HTVA  à l''unité],""))</f>
        <v/>
      </c>
      <c r="F23" s="241"/>
      <c r="G23" s="971" t="str">
        <f t="shared" si="0"/>
        <v/>
      </c>
      <c r="H23" s="5" t="str">
        <f t="shared" si="1"/>
        <v/>
      </c>
      <c r="I23" s="245"/>
      <c r="J23" s="243"/>
      <c r="K23" s="244"/>
    </row>
    <row r="24" spans="2:11" s="252" customFormat="1" ht="17.25" customHeight="1">
      <c r="B24" s="208"/>
      <c r="C24" s="968" t="str">
        <f>IF(ISBLANK(B24),"",_xlfn.XLOOKUP(B24,tblIngredients[Article],tblIngredients[Fournisseur],""))</f>
        <v/>
      </c>
      <c r="D24" s="969" t="str">
        <f>IF(ISBLANK(B24),"",_xlfn.XLOOKUP(B24,tblIngredients[Article],tblIngredients[Unité conditionnement],""))</f>
        <v/>
      </c>
      <c r="E24" s="970" t="str">
        <f>IF(ISBLANK(B24),"",_xlfn.XLOOKUP(B24,tblIngredients[Article],tblIngredients[Coût d''achat HTVA  à l''unité],""))</f>
        <v/>
      </c>
      <c r="F24" s="241"/>
      <c r="G24" s="971" t="str">
        <f t="shared" si="0"/>
        <v/>
      </c>
      <c r="H24" s="5" t="str">
        <f t="shared" si="1"/>
        <v/>
      </c>
      <c r="I24" s="245"/>
      <c r="J24" s="243"/>
      <c r="K24" s="244"/>
    </row>
    <row r="25" spans="2:11" s="252" customFormat="1" ht="17.25" customHeight="1">
      <c r="B25" s="208"/>
      <c r="C25" s="968" t="str">
        <f>IF(ISBLANK(B25),"",_xlfn.XLOOKUP(B25,tblIngredients[Article],tblIngredients[Fournisseur],""))</f>
        <v/>
      </c>
      <c r="D25" s="969" t="str">
        <f>IF(ISBLANK(B25),"",_xlfn.XLOOKUP(B25,tblIngredients[Article],tblIngredients[Unité conditionnement],""))</f>
        <v/>
      </c>
      <c r="E25" s="970" t="str">
        <f>IF(ISBLANK(B25),"",_xlfn.XLOOKUP(B25,tblIngredients[Article],tblIngredients[Coût d''achat HTVA  à l''unité],""))</f>
        <v/>
      </c>
      <c r="F25" s="241"/>
      <c r="G25" s="971" t="str">
        <f t="shared" si="0"/>
        <v/>
      </c>
      <c r="H25" s="5" t="str">
        <f t="shared" si="1"/>
        <v/>
      </c>
      <c r="I25" s="245"/>
      <c r="J25" s="243"/>
      <c r="K25" s="244"/>
    </row>
    <row r="26" spans="2:11" s="252" customFormat="1" ht="17.25" customHeight="1">
      <c r="B26" s="208"/>
      <c r="C26" s="968" t="str">
        <f>IF(ISBLANK(B26),"",_xlfn.XLOOKUP(B26,tblIngredients[Article],tblIngredients[Fournisseur],""))</f>
        <v/>
      </c>
      <c r="D26" s="969" t="str">
        <f>IF(ISBLANK(B26),"",_xlfn.XLOOKUP(B26,tblIngredients[Article],tblIngredients[Unité conditionnement],""))</f>
        <v/>
      </c>
      <c r="E26" s="970" t="str">
        <f>IF(ISBLANK(B26),"",_xlfn.XLOOKUP(B26,tblIngredients[Article],tblIngredients[Coût d''achat HTVA  à l''unité],""))</f>
        <v/>
      </c>
      <c r="F26" s="241"/>
      <c r="G26" s="971" t="str">
        <f t="shared" si="0"/>
        <v/>
      </c>
      <c r="H26" s="5" t="str">
        <f t="shared" si="1"/>
        <v/>
      </c>
      <c r="I26" s="245"/>
      <c r="J26" s="243"/>
      <c r="K26" s="244"/>
    </row>
    <row r="27" spans="2:11" s="252" customFormat="1" ht="17.25" customHeight="1">
      <c r="B27" s="208"/>
      <c r="C27" s="968" t="str">
        <f>IF(ISBLANK(B27),"",_xlfn.XLOOKUP(B27,tblIngredients[Article],tblIngredients[Fournisseur],""))</f>
        <v/>
      </c>
      <c r="D27" s="969" t="str">
        <f>IF(ISBLANK(B27),"",_xlfn.XLOOKUP(B27,tblIngredients[Article],tblIngredients[Unité conditionnement],""))</f>
        <v/>
      </c>
      <c r="E27" s="970" t="str">
        <f>IF(ISBLANK(B27),"",_xlfn.XLOOKUP(B27,tblIngredients[Article],tblIngredients[Coût d''achat HTVA  à l''unité],""))</f>
        <v/>
      </c>
      <c r="F27" s="241"/>
      <c r="G27" s="971" t="str">
        <f t="shared" si="0"/>
        <v/>
      </c>
      <c r="H27" s="5" t="str">
        <f t="shared" si="1"/>
        <v/>
      </c>
      <c r="I27" s="245"/>
      <c r="J27" s="243"/>
      <c r="K27" s="244"/>
    </row>
    <row r="28" spans="2:11" s="252" customFormat="1" ht="17.25" customHeight="1">
      <c r="B28" s="208"/>
      <c r="C28" s="968"/>
      <c r="D28" s="969"/>
      <c r="E28" s="970"/>
      <c r="F28" s="241"/>
      <c r="G28" s="971"/>
      <c r="H28" s="5"/>
      <c r="I28" s="245"/>
      <c r="J28" s="243"/>
      <c r="K28" s="244"/>
    </row>
    <row r="29" spans="2:11" s="252" customFormat="1" ht="17.25" customHeight="1">
      <c r="B29" s="208"/>
      <c r="C29" s="968" t="str">
        <f>IF(ISBLANK(B29),"",_xlfn.XLOOKUP(B29,tblIngredients[Article],tblIngredients[Fournisseur],""))</f>
        <v/>
      </c>
      <c r="D29" s="969" t="str">
        <f>IF(ISBLANK(B29),"",_xlfn.XLOOKUP(B29,tblIngredients[Article],tblIngredients[Unité conditionnement],""))</f>
        <v/>
      </c>
      <c r="E29" s="970" t="str">
        <f>IF(ISBLANK(B29),"",_xlfn.XLOOKUP(B29,tblIngredients[Article],tblIngredients[Coût d''achat HTVA  à l''unité],""))</f>
        <v/>
      </c>
      <c r="F29" s="241"/>
      <c r="G29" s="971" t="str">
        <f t="shared" si="0"/>
        <v/>
      </c>
      <c r="H29" s="5" t="str">
        <f t="shared" si="1"/>
        <v/>
      </c>
      <c r="I29" s="245"/>
      <c r="J29" s="243"/>
      <c r="K29" s="244"/>
    </row>
    <row r="30" spans="2:11" s="252" customFormat="1" ht="17.25" customHeight="1">
      <c r="B30" s="208"/>
      <c r="C30" s="968" t="str">
        <f>IF(ISBLANK(B30),"",_xlfn.XLOOKUP(B30,tblIngredients[Article],tblIngredients[Fournisseur],""))</f>
        <v/>
      </c>
      <c r="D30" s="969" t="str">
        <f>IF(ISBLANK(B30),"",_xlfn.XLOOKUP(B30,tblIngredients[Article],tblIngredients[Unité conditionnement],""))</f>
        <v/>
      </c>
      <c r="E30" s="970" t="str">
        <f>IF(ISBLANK(B30),"",_xlfn.XLOOKUP(B30,tblIngredients[Article],tblIngredients[Coût d''achat HTVA  à l''unité],""))</f>
        <v/>
      </c>
      <c r="F30" s="241"/>
      <c r="G30" s="971" t="str">
        <f t="shared" si="0"/>
        <v/>
      </c>
      <c r="H30" s="5" t="str">
        <f t="shared" si="1"/>
        <v/>
      </c>
      <c r="I30" s="245"/>
      <c r="J30" s="243"/>
      <c r="K30" s="244"/>
    </row>
    <row r="31" spans="2:11" s="252" customFormat="1" ht="17.25" customHeight="1">
      <c r="B31" s="208"/>
      <c r="C31" s="968" t="str">
        <f>IF(ISBLANK(B31),"",_xlfn.XLOOKUP(B31,tblIngredients[Article],tblIngredients[Fournisseur],""))</f>
        <v/>
      </c>
      <c r="D31" s="969" t="str">
        <f>IF(ISBLANK(B31),"",_xlfn.XLOOKUP(B31,tblIngredients[Article],tblIngredients[Unité conditionnement],""))</f>
        <v/>
      </c>
      <c r="E31" s="970" t="str">
        <f>IF(ISBLANK(B31),"",_xlfn.XLOOKUP(B31,tblIngredients[Article],tblIngredients[Coût d''achat HTVA  à l''unité],""))</f>
        <v/>
      </c>
      <c r="F31" s="241"/>
      <c r="G31" s="971" t="str">
        <f t="shared" si="0"/>
        <v/>
      </c>
      <c r="H31" s="5" t="str">
        <f t="shared" si="1"/>
        <v/>
      </c>
      <c r="I31" s="245"/>
      <c r="J31" s="243"/>
      <c r="K31" s="244"/>
    </row>
    <row r="32" spans="2:11" s="252" customFormat="1" ht="17.25" customHeight="1">
      <c r="B32" s="208"/>
      <c r="C32" s="968" t="str">
        <f>IF(ISBLANK(B32),"",_xlfn.XLOOKUP(B32,tblIngredients[Article],tblIngredients[Fournisseur],""))</f>
        <v/>
      </c>
      <c r="D32" s="969" t="str">
        <f>IF(ISBLANK(B32),"",_xlfn.XLOOKUP(B32,tblIngredients[Article],tblIngredients[Unité conditionnement],""))</f>
        <v/>
      </c>
      <c r="E32" s="970" t="str">
        <f>IF(ISBLANK(B32),"",_xlfn.XLOOKUP(B32,tblIngredients[Article],tblIngredients[Coût d''achat HTVA  à l''unité],""))</f>
        <v/>
      </c>
      <c r="F32" s="241"/>
      <c r="G32" s="971" t="str">
        <f t="shared" si="0"/>
        <v/>
      </c>
      <c r="H32" s="5" t="str">
        <f t="shared" si="1"/>
        <v/>
      </c>
      <c r="I32" s="245"/>
      <c r="J32" s="243"/>
      <c r="K32" s="244"/>
    </row>
    <row r="33" spans="2:11" s="252" customFormat="1" ht="17.25" customHeight="1">
      <c r="B33" s="952" t="s">
        <v>29</v>
      </c>
      <c r="C33" s="952"/>
      <c r="D33" s="952"/>
      <c r="E33" s="952"/>
      <c r="F33" s="952"/>
      <c r="G33" s="953">
        <f>SUM(G17:G32)</f>
        <v>189.97874999999999</v>
      </c>
      <c r="H33" s="954">
        <f>IF(G33="","",G33/G$45)</f>
        <v>0.72032302138783477</v>
      </c>
      <c r="I33" s="955"/>
      <c r="J33" s="956"/>
      <c r="K33" s="957"/>
    </row>
    <row r="34" spans="2:11" s="252" customFormat="1" ht="17.25" customHeight="1">
      <c r="B34" s="208" t="s">
        <v>19</v>
      </c>
      <c r="C34" s="968" t="str">
        <f>IF(ISBLANK(B34),"",_xlfn.XLOOKUP(B34,tblConsommables[Article],tblConsommables[Fournisseur],""))</f>
        <v>Grossiste</v>
      </c>
      <c r="D34" s="969" t="str">
        <f>IF(ISBLANK(B34),"",_xlfn.XLOOKUP(B34,tblConsommables[Article],tblConsommables[Unité conditionnement],""))</f>
        <v>Unité</v>
      </c>
      <c r="E34" s="970">
        <f>IF(ISBLANK(B34),"",_xlfn.XLOOKUP(B34,tblConsommables[Article],tblConsommables[Coût d''achat HTVA  à l''unité],""))</f>
        <v>0.154</v>
      </c>
      <c r="F34" s="246">
        <v>230</v>
      </c>
      <c r="G34" s="972">
        <f>IF(OR(F34="",ISBLANK(F34)),"",E34*F34)</f>
        <v>35.42</v>
      </c>
      <c r="H34" s="6">
        <f>IF(OR(G34="",ISBLANK(G34)),"",G34/G$43)</f>
        <v>0.48988285410010646</v>
      </c>
      <c r="I34" s="245"/>
      <c r="J34" s="243"/>
      <c r="K34" s="247"/>
    </row>
    <row r="35" spans="2:11" s="252" customFormat="1" ht="17.25" customHeight="1">
      <c r="B35" s="208" t="s">
        <v>38</v>
      </c>
      <c r="C35" s="968" t="str">
        <f>IF(ISBLANK(B35),"",_xlfn.XLOOKUP(B35,tblConsommables[Article],tblConsommables[Fournisseur],""))</f>
        <v>Grossiste</v>
      </c>
      <c r="D35" s="969" t="str">
        <f>IF(ISBLANK(B35),"",_xlfn.XLOOKUP(B35,tblConsommables[Article],tblConsommables[Unité conditionnement],""))</f>
        <v>Unité</v>
      </c>
      <c r="E35" s="970">
        <f>IF(ISBLANK(B35),"",_xlfn.XLOOKUP(B35,tblConsommables[Article],tblConsommables[Coût d''achat HTVA  à l''unité],""))</f>
        <v>0.12</v>
      </c>
      <c r="F35" s="246">
        <v>250</v>
      </c>
      <c r="G35" s="972">
        <f t="shared" ref="G35:G42" si="2">IF(OR(F35="",ISBLANK(F35)),"",E35*F35)</f>
        <v>30</v>
      </c>
      <c r="H35" s="6">
        <f t="shared" ref="H35:H42" si="3">IF(OR(G35="",ISBLANK(G35)),"",G35/G$43)</f>
        <v>0.41492054271606982</v>
      </c>
      <c r="I35" s="245"/>
      <c r="J35" s="243"/>
      <c r="K35" s="247"/>
    </row>
    <row r="36" spans="2:11" s="252" customFormat="1" ht="17.25" customHeight="1">
      <c r="B36" s="208" t="s">
        <v>27</v>
      </c>
      <c r="C36" s="968" t="str">
        <f>IF(ISBLANK(B36),"",_xlfn.XLOOKUP(B36,tblConsommables[Article],tblConsommables[Fournisseur],""))</f>
        <v>Grossiste</v>
      </c>
      <c r="D36" s="969" t="str">
        <f>IF(ISBLANK(B36),"",_xlfn.XLOOKUP(B36,tblConsommables[Article],tblConsommables[Unité conditionnement],""))</f>
        <v>Rack de 1000</v>
      </c>
      <c r="E36" s="970">
        <f>IF(ISBLANK(B36),"",_xlfn.XLOOKUP(B36,tblConsommables[Article],tblConsommables[Coût d''achat HTVA  à l''unité],""))</f>
        <v>27.3</v>
      </c>
      <c r="F36" s="246">
        <v>0.25</v>
      </c>
      <c r="G36" s="972">
        <f t="shared" si="2"/>
        <v>6.8250000000000002</v>
      </c>
      <c r="H36" s="6">
        <f t="shared" si="3"/>
        <v>9.4394423467905886E-2</v>
      </c>
      <c r="I36" s="245"/>
      <c r="J36" s="243"/>
      <c r="K36" s="247"/>
    </row>
    <row r="37" spans="2:11" s="252" customFormat="1" ht="17.25" customHeight="1">
      <c r="B37" s="208" t="s">
        <v>370</v>
      </c>
      <c r="C37" s="968" t="str">
        <f>IF(ISBLANK(B37),"",_xlfn.XLOOKUP(B37,tblConsommables[Article],tblConsommables[Fournisseur],""))</f>
        <v>Grossiste</v>
      </c>
      <c r="D37" s="969" t="str">
        <f>IF(ISBLANK(B37),"",_xlfn.XLOOKUP(B37,tblConsommables[Article],tblConsommables[Unité conditionnement],""))</f>
        <v>Rack de 1000</v>
      </c>
      <c r="E37" s="970">
        <f>IF(ISBLANK(B37),"",_xlfn.XLOOKUP(B37,tblConsommables[Article],tblConsommables[Coût d''achat HTVA  à l''unité],""))</f>
        <v>58</v>
      </c>
      <c r="F37" s="246">
        <v>1E-3</v>
      </c>
      <c r="G37" s="972">
        <f t="shared" si="2"/>
        <v>5.8000000000000003E-2</v>
      </c>
      <c r="H37" s="6">
        <f t="shared" si="3"/>
        <v>8.0217971591773501E-4</v>
      </c>
      <c r="I37" s="245"/>
      <c r="J37" s="243"/>
      <c r="K37" s="247"/>
    </row>
    <row r="38" spans="2:11" s="252" customFormat="1" ht="17.25" customHeight="1">
      <c r="B38" s="208"/>
      <c r="C38" s="968" t="str">
        <f>IF(ISBLANK(B38),"",_xlfn.XLOOKUP(B38,tblConsommables[Article],tblConsommables[Fournisseur],""))</f>
        <v/>
      </c>
      <c r="D38" s="969" t="str">
        <f>IF(ISBLANK(B38),"",_xlfn.XLOOKUP(B38,tblConsommables[Article],tblConsommables[Unité conditionnement],""))</f>
        <v/>
      </c>
      <c r="E38" s="970" t="str">
        <f>IF(ISBLANK(B38),"",_xlfn.XLOOKUP(B38,tblConsommables[Article],tblConsommables[Coût d''achat HTVA  à l''unité],""))</f>
        <v/>
      </c>
      <c r="F38" s="246"/>
      <c r="G38" s="972" t="str">
        <f t="shared" si="2"/>
        <v/>
      </c>
      <c r="H38" s="6" t="str">
        <f t="shared" si="3"/>
        <v/>
      </c>
      <c r="I38" s="245"/>
      <c r="J38" s="243"/>
      <c r="K38" s="247"/>
    </row>
    <row r="39" spans="2:11" s="252" customFormat="1" ht="17.25" customHeight="1">
      <c r="B39" s="208"/>
      <c r="C39" s="968" t="str">
        <f>IF(ISBLANK(B39),"",_xlfn.XLOOKUP(B39,tblConsommables[Article],tblConsommables[Fournisseur],""))</f>
        <v/>
      </c>
      <c r="D39" s="969" t="str">
        <f>IF(ISBLANK(B39),"",_xlfn.XLOOKUP(B39,tblConsommables[Article],tblConsommables[Unité conditionnement],""))</f>
        <v/>
      </c>
      <c r="E39" s="970" t="str">
        <f>IF(ISBLANK(B39),"",_xlfn.XLOOKUP(B39,tblConsommables[Article],tblConsommables[Coût d''achat HTVA  à l''unité],""))</f>
        <v/>
      </c>
      <c r="F39" s="246"/>
      <c r="G39" s="972" t="str">
        <f t="shared" si="2"/>
        <v/>
      </c>
      <c r="H39" s="6" t="str">
        <f t="shared" si="3"/>
        <v/>
      </c>
      <c r="I39" s="245"/>
      <c r="J39" s="243"/>
      <c r="K39" s="247"/>
    </row>
    <row r="40" spans="2:11" s="252" customFormat="1" ht="17.25" customHeight="1">
      <c r="B40" s="208"/>
      <c r="C40" s="968" t="str">
        <f>IF(ISBLANK(B40),"",_xlfn.XLOOKUP(B40,tblConsommables[Article],tblConsommables[Fournisseur],""))</f>
        <v/>
      </c>
      <c r="D40" s="969" t="str">
        <f>IF(ISBLANK(B40),"",_xlfn.XLOOKUP(B40,tblConsommables[Article],tblConsommables[Unité conditionnement],""))</f>
        <v/>
      </c>
      <c r="E40" s="970" t="str">
        <f>IF(ISBLANK(B40),"",_xlfn.XLOOKUP(B40,tblConsommables[Article],tblConsommables[Coût d''achat HTVA  à l''unité],""))</f>
        <v/>
      </c>
      <c r="F40" s="246"/>
      <c r="G40" s="972" t="str">
        <f t="shared" si="2"/>
        <v/>
      </c>
      <c r="H40" s="6" t="str">
        <f t="shared" si="3"/>
        <v/>
      </c>
      <c r="I40" s="245"/>
      <c r="J40" s="243"/>
      <c r="K40" s="247"/>
    </row>
    <row r="41" spans="2:11" s="252" customFormat="1" ht="17.25" customHeight="1">
      <c r="B41" s="208"/>
      <c r="C41" s="968" t="str">
        <f>IF(ISBLANK(B41),"",_xlfn.XLOOKUP(B41,tblConsommables[Article],tblConsommables[Fournisseur],""))</f>
        <v/>
      </c>
      <c r="D41" s="969" t="str">
        <f>IF(ISBLANK(B41),"",_xlfn.XLOOKUP(B41,tblConsommables[Article],tblConsommables[Unité conditionnement],""))</f>
        <v/>
      </c>
      <c r="E41" s="970" t="str">
        <f>IF(ISBLANK(B41),"",_xlfn.XLOOKUP(B41,tblConsommables[Article],tblConsommables[Coût d''achat HTVA  à l''unité],""))</f>
        <v/>
      </c>
      <c r="F41" s="246"/>
      <c r="G41" s="972" t="str">
        <f t="shared" si="2"/>
        <v/>
      </c>
      <c r="H41" s="6" t="str">
        <f t="shared" si="3"/>
        <v/>
      </c>
      <c r="I41" s="245"/>
      <c r="J41" s="243"/>
      <c r="K41" s="247"/>
    </row>
    <row r="42" spans="2:11" s="252" customFormat="1" ht="17.25" customHeight="1" thickBot="1">
      <c r="B42" s="208"/>
      <c r="C42" s="968" t="str">
        <f>IF(ISBLANK(B42),"",_xlfn.XLOOKUP(B42,tblConsommables[Article],tblConsommables[Fournisseur],""))</f>
        <v/>
      </c>
      <c r="D42" s="969" t="str">
        <f>IF(ISBLANK(B42),"",_xlfn.XLOOKUP(B42,tblConsommables[Article],tblConsommables[Unité conditionnement],""))</f>
        <v/>
      </c>
      <c r="E42" s="970" t="str">
        <f>IF(ISBLANK(B42),"",_xlfn.XLOOKUP(B42,tblConsommables[Article],tblConsommables[Coût d''achat HTVA  à l''unité],""))</f>
        <v/>
      </c>
      <c r="F42" s="248"/>
      <c r="G42" s="972" t="str">
        <f t="shared" si="2"/>
        <v/>
      </c>
      <c r="H42" s="6" t="str">
        <f t="shared" si="3"/>
        <v/>
      </c>
      <c r="I42" s="245"/>
      <c r="J42" s="243"/>
      <c r="K42" s="247"/>
    </row>
    <row r="43" spans="2:11" s="252" customFormat="1" ht="17.25" customHeight="1" thickBot="1">
      <c r="B43" s="958" t="s">
        <v>31</v>
      </c>
      <c r="C43" s="959"/>
      <c r="D43" s="959"/>
      <c r="E43" s="959"/>
      <c r="F43" s="959"/>
      <c r="G43" s="960">
        <f>SUM(G34:G42)</f>
        <v>72.303000000000011</v>
      </c>
      <c r="H43" s="961">
        <f>IF(G43="","",G43/G$45)</f>
        <v>0.27414389985935073</v>
      </c>
      <c r="I43" s="962"/>
      <c r="J43" s="962"/>
      <c r="K43" s="962"/>
    </row>
    <row r="44" spans="2:11" s="252" customFormat="1" ht="17.25" customHeight="1">
      <c r="B44" s="958" t="s">
        <v>180</v>
      </c>
      <c r="C44" s="959"/>
      <c r="D44" s="959"/>
      <c r="E44" s="959"/>
      <c r="F44" s="959"/>
      <c r="G44" s="963">
        <f>J73</f>
        <v>1.4593</v>
      </c>
      <c r="H44" s="961">
        <f>IF(G44="","",G44/G$45)</f>
        <v>5.5330787528145515E-3</v>
      </c>
      <c r="I44" s="964"/>
      <c r="J44" s="962"/>
      <c r="K44" s="962"/>
    </row>
    <row r="45" spans="2:11" s="252" customFormat="1" ht="17.25" customHeight="1">
      <c r="B45" s="249" t="s">
        <v>273</v>
      </c>
      <c r="C45" s="250"/>
      <c r="D45" s="250"/>
      <c r="E45" s="250"/>
      <c r="F45" s="251"/>
      <c r="G45" s="973">
        <f>SUM(G33,G43,G44)</f>
        <v>263.74104999999997</v>
      </c>
      <c r="H45" s="7">
        <f>IF(G45="","",G45/G$45)</f>
        <v>1</v>
      </c>
    </row>
    <row r="46" spans="2:11" s="252" customFormat="1" ht="17.25" customHeight="1">
      <c r="B46" s="220" t="s">
        <v>274</v>
      </c>
      <c r="C46" s="253"/>
      <c r="D46" s="253"/>
      <c r="E46" s="253"/>
      <c r="F46" s="254"/>
      <c r="G46" s="973">
        <f>G45/D8</f>
        <v>1.1721824444444444</v>
      </c>
      <c r="H46" s="255"/>
    </row>
    <row r="47" spans="2:11" s="252" customFormat="1" ht="17.25" customHeight="1">
      <c r="H47" s="256"/>
    </row>
    <row r="48" spans="2:11" s="252" customFormat="1" ht="17.25" customHeight="1">
      <c r="B48" s="431" t="s">
        <v>275</v>
      </c>
      <c r="C48" s="432"/>
      <c r="D48" s="432"/>
      <c r="E48" s="432"/>
      <c r="F48" s="432"/>
      <c r="G48" s="433"/>
      <c r="H48" s="257"/>
      <c r="I48" s="431" t="s">
        <v>26</v>
      </c>
      <c r="J48" s="432"/>
      <c r="K48" s="433"/>
    </row>
    <row r="49" spans="2:17" s="252" customFormat="1" ht="17.25" customHeight="1">
      <c r="B49" s="220" t="s">
        <v>276</v>
      </c>
      <c r="C49" s="258"/>
      <c r="D49" s="258"/>
      <c r="E49" s="259"/>
      <c r="F49" s="260"/>
      <c r="G49" s="974">
        <f>D10</f>
        <v>4.0599999999999996</v>
      </c>
      <c r="H49" s="261"/>
      <c r="I49" s="220" t="s">
        <v>9</v>
      </c>
      <c r="J49" s="254"/>
      <c r="K49" s="974">
        <f>G10</f>
        <v>4.6698113207547172</v>
      </c>
    </row>
    <row r="50" spans="2:17" s="252" customFormat="1" ht="17.25" customHeight="1">
      <c r="B50" s="220" t="s">
        <v>277</v>
      </c>
      <c r="C50" s="258"/>
      <c r="D50" s="258"/>
      <c r="E50" s="253"/>
      <c r="F50" s="262"/>
      <c r="G50" s="975">
        <f>G49-G46</f>
        <v>2.8878175555555554</v>
      </c>
      <c r="H50" s="263"/>
      <c r="I50" s="220" t="s">
        <v>10</v>
      </c>
      <c r="J50" s="254"/>
      <c r="K50" s="975">
        <f>K49-G46</f>
        <v>3.497628876310273</v>
      </c>
    </row>
    <row r="51" spans="2:17" s="252" customFormat="1" ht="17.25" customHeight="1">
      <c r="B51" s="220" t="s">
        <v>378</v>
      </c>
      <c r="C51" s="258"/>
      <c r="D51" s="258"/>
      <c r="E51" s="253"/>
      <c r="F51" s="260"/>
      <c r="G51" s="975">
        <f>G50*$D8</f>
        <v>649.75894999999991</v>
      </c>
      <c r="H51" s="263"/>
      <c r="I51" s="220" t="s">
        <v>378</v>
      </c>
      <c r="J51" s="254"/>
      <c r="K51" s="975">
        <f>K50*$D8</f>
        <v>786.96649716981142</v>
      </c>
    </row>
    <row r="52" spans="2:17" s="252" customFormat="1" ht="17.25" customHeight="1">
      <c r="B52" s="220" t="s">
        <v>379</v>
      </c>
      <c r="C52" s="258"/>
      <c r="D52" s="258"/>
      <c r="E52" s="253"/>
      <c r="F52" s="260"/>
      <c r="G52" s="975">
        <f>G51/($C73*(1/60))</f>
        <v>135.36644791666666</v>
      </c>
      <c r="H52" s="263"/>
      <c r="I52" s="220" t="s">
        <v>379</v>
      </c>
      <c r="J52" s="254"/>
      <c r="K52" s="975">
        <f>K51/($C73*(1/60))</f>
        <v>163.95135357704405</v>
      </c>
    </row>
    <row r="53" spans="2:17" s="252" customFormat="1" ht="17.25" customHeight="1">
      <c r="B53" s="220" t="s">
        <v>278</v>
      </c>
      <c r="C53" s="258"/>
      <c r="D53" s="258"/>
      <c r="E53" s="253"/>
      <c r="F53" s="260"/>
      <c r="G53" s="8">
        <f>G50/$G$46</f>
        <v>2.4636246424286243</v>
      </c>
      <c r="H53" s="264"/>
      <c r="I53" s="220" t="s">
        <v>11</v>
      </c>
      <c r="J53" s="254"/>
      <c r="K53" s="8">
        <f>K50/$G$46</f>
        <v>2.9838604842507888</v>
      </c>
    </row>
    <row r="54" spans="2:17" s="252" customFormat="1" ht="17.25" customHeight="1" thickBot="1">
      <c r="B54" s="220" t="s">
        <v>12</v>
      </c>
      <c r="C54" s="258"/>
      <c r="D54" s="258"/>
      <c r="E54" s="253"/>
      <c r="F54" s="260"/>
      <c r="G54" s="976">
        <f>G49/$G$46</f>
        <v>3.4636246424286243</v>
      </c>
      <c r="H54" s="261"/>
      <c r="I54" s="220" t="s">
        <v>12</v>
      </c>
      <c r="J54" s="254"/>
      <c r="K54" s="976">
        <f>K49/$G$46</f>
        <v>3.9838604842507883</v>
      </c>
    </row>
    <row r="55" spans="2:17" ht="13.8">
      <c r="B55" s="220" t="s">
        <v>13</v>
      </c>
      <c r="C55" s="258"/>
      <c r="D55" s="258"/>
      <c r="E55" s="265"/>
      <c r="F55" s="266"/>
      <c r="G55" s="9">
        <f>G46/G49</f>
        <v>0.28871488779419818</v>
      </c>
      <c r="I55" s="220" t="s">
        <v>13</v>
      </c>
      <c r="J55" s="254"/>
      <c r="K55" s="9">
        <f>G46/K49</f>
        <v>0.25101280628507294</v>
      </c>
      <c r="L55" s="252"/>
      <c r="M55" s="252"/>
      <c r="N55" s="252"/>
      <c r="O55" s="252"/>
      <c r="P55" s="252"/>
      <c r="Q55" s="252"/>
    </row>
    <row r="56" spans="2:17" ht="14.4" thickBot="1">
      <c r="B56" s="220" t="s">
        <v>371</v>
      </c>
      <c r="F56" s="267"/>
      <c r="G56" s="34">
        <f ca="1">'4. CHARGES FIXES'!J18/(1-G55)</f>
        <v>29865.873899911589</v>
      </c>
      <c r="I56" s="220" t="s">
        <v>373</v>
      </c>
      <c r="K56" s="34">
        <f ca="1">'4. CHARGES FIXES'!J18/(1-K55)</f>
        <v>28362.502918986254</v>
      </c>
      <c r="L56" s="252"/>
      <c r="M56" s="252"/>
      <c r="N56" s="252"/>
      <c r="O56" s="252"/>
      <c r="P56" s="252"/>
      <c r="Q56" s="252"/>
    </row>
    <row r="57" spans="2:17" ht="14.4" thickBot="1">
      <c r="B57" s="268" t="s">
        <v>372</v>
      </c>
      <c r="F57" s="267"/>
      <c r="G57" s="977">
        <f ca="1">G56/G49</f>
        <v>7356.1265763329047</v>
      </c>
      <c r="I57" s="220" t="s">
        <v>374</v>
      </c>
      <c r="K57" s="977">
        <f ca="1">K56/K49</f>
        <v>6073.5864836617029</v>
      </c>
      <c r="L57" s="252"/>
      <c r="M57" s="252"/>
      <c r="N57" s="252"/>
      <c r="O57" s="252"/>
      <c r="P57" s="252"/>
      <c r="Q57" s="252"/>
    </row>
    <row r="58" spans="2:17" ht="14.4" thickBot="1">
      <c r="F58" s="267"/>
      <c r="K58" s="252"/>
      <c r="L58" s="252"/>
      <c r="M58" s="252"/>
      <c r="N58" s="252"/>
      <c r="O58" s="252"/>
      <c r="P58" s="252"/>
      <c r="Q58" s="252"/>
    </row>
    <row r="59" spans="2:17" ht="13.8">
      <c r="B59" s="436" t="s">
        <v>279</v>
      </c>
      <c r="C59" s="437"/>
      <c r="D59" s="437"/>
      <c r="E59" s="437"/>
      <c r="F59" s="437"/>
      <c r="G59" s="437"/>
      <c r="H59" s="437"/>
      <c r="I59" s="437"/>
      <c r="J59" s="438"/>
      <c r="K59" s="252"/>
      <c r="L59" s="252"/>
      <c r="M59" s="252"/>
      <c r="N59" s="252"/>
      <c r="O59" s="252"/>
      <c r="P59" s="252"/>
      <c r="Q59" s="252"/>
    </row>
    <row r="60" spans="2:17" ht="13.8">
      <c r="B60" s="269" t="s">
        <v>41</v>
      </c>
      <c r="C60" s="269" t="s">
        <v>280</v>
      </c>
      <c r="D60" s="269" t="s">
        <v>168</v>
      </c>
      <c r="E60" s="269" t="s">
        <v>282</v>
      </c>
      <c r="F60" s="269" t="s">
        <v>169</v>
      </c>
      <c r="G60" s="269" t="s">
        <v>172</v>
      </c>
      <c r="H60" s="269" t="s">
        <v>170</v>
      </c>
      <c r="I60" s="269" t="s">
        <v>174</v>
      </c>
      <c r="J60" s="269" t="s">
        <v>179</v>
      </c>
    </row>
    <row r="61" spans="2:17" ht="13.8">
      <c r="B61" s="270" t="s">
        <v>46</v>
      </c>
      <c r="C61" s="271">
        <v>20</v>
      </c>
      <c r="D61" s="271">
        <v>0</v>
      </c>
      <c r="E61" s="978">
        <f>C61+D61</f>
        <v>20</v>
      </c>
      <c r="F61" s="271"/>
      <c r="G61" s="271"/>
      <c r="H61" s="978">
        <f t="shared" ref="H61:H62" si="4">G61*D61/60</f>
        <v>0</v>
      </c>
      <c r="I61" s="272"/>
      <c r="J61" s="979" cm="1">
        <f t="array" ref="J61">_xlfn.IFS(I61=Listes!$C$2,'1. DONNEES DE BASE'!$B$2*H61,'FT_PROD (8)'!I61=Listes!$C$3,'1. DONNEES DE BASE'!$B$3*'FT_PROD (8)'!H61,TRUE,0)</f>
        <v>0</v>
      </c>
    </row>
    <row r="62" spans="2:17" ht="13.8">
      <c r="B62" s="270" t="s">
        <v>45</v>
      </c>
      <c r="C62" s="271">
        <v>120</v>
      </c>
      <c r="D62" s="271">
        <v>0</v>
      </c>
      <c r="E62" s="978">
        <f t="shared" ref="E62:E72" si="5">C62+D62</f>
        <v>120</v>
      </c>
      <c r="F62" s="271"/>
      <c r="G62" s="271"/>
      <c r="H62" s="978">
        <f t="shared" si="4"/>
        <v>0</v>
      </c>
      <c r="I62" s="272"/>
      <c r="J62" s="979" cm="1">
        <f t="array" ref="J62">_xlfn.IFS(I62=Listes!$C$2,'1. DONNEES DE BASE'!$B$2*H62,'FT_PROD (8)'!I62=Listes!$C$3,'1. DONNEES DE BASE'!$B$3*'FT_PROD (8)'!H62,TRUE,0)</f>
        <v>0</v>
      </c>
    </row>
    <row r="63" spans="2:17" ht="13.8">
      <c r="B63" s="270" t="s">
        <v>42</v>
      </c>
      <c r="C63" s="271">
        <v>10</v>
      </c>
      <c r="D63" s="273">
        <v>120</v>
      </c>
      <c r="E63" s="978">
        <f t="shared" si="5"/>
        <v>130</v>
      </c>
      <c r="F63" s="271" t="s">
        <v>173</v>
      </c>
      <c r="G63" s="271">
        <v>3</v>
      </c>
      <c r="H63" s="978">
        <f>G63*D63/60</f>
        <v>6</v>
      </c>
      <c r="I63" s="272" t="s">
        <v>175</v>
      </c>
      <c r="J63" s="979" cm="1">
        <f t="array" ref="J63">_xlfn.IFS(I63=Listes!$C$2,'1. DONNEES DE BASE'!$B$2*H63,'FT_PROD (8)'!I63=Listes!$C$3,'1. DONNEES DE BASE'!$B$3*'FT_PROD (8)'!H63,TRUE,0)</f>
        <v>0.48180000000000001</v>
      </c>
    </row>
    <row r="64" spans="2:17" ht="13.8">
      <c r="B64" s="270" t="s">
        <v>43</v>
      </c>
      <c r="C64" s="271">
        <v>3</v>
      </c>
      <c r="D64" s="271">
        <v>0</v>
      </c>
      <c r="E64" s="978">
        <f t="shared" si="5"/>
        <v>3</v>
      </c>
      <c r="F64" s="271"/>
      <c r="G64" s="271"/>
      <c r="H64" s="978">
        <f t="shared" ref="H64:H72" si="6">G64*D64/60</f>
        <v>0</v>
      </c>
      <c r="I64" s="272"/>
      <c r="J64" s="979" cm="1">
        <f t="array" ref="J64">_xlfn.IFS(I64=Listes!$C$2,'1. DONNEES DE BASE'!$B$2*H64,'FT_PROD (8)'!I64=Listes!$C$3,'1. DONNEES DE BASE'!$B$3*'FT_PROD (8)'!H64,TRUE,0)</f>
        <v>0</v>
      </c>
    </row>
    <row r="65" spans="2:10" ht="13.8">
      <c r="B65" s="270" t="s">
        <v>44</v>
      </c>
      <c r="C65" s="271">
        <v>15</v>
      </c>
      <c r="D65" s="273">
        <v>120</v>
      </c>
      <c r="E65" s="978">
        <f t="shared" si="5"/>
        <v>135</v>
      </c>
      <c r="F65" s="271"/>
      <c r="G65" s="271">
        <v>2</v>
      </c>
      <c r="H65" s="978">
        <f t="shared" si="6"/>
        <v>4</v>
      </c>
      <c r="I65" s="272" t="s">
        <v>176</v>
      </c>
      <c r="J65" s="979" cm="1">
        <f t="array" ref="J65">_xlfn.IFS(I65=Listes!$C$2,'1. DONNEES DE BASE'!$B$2*H65,'FT_PROD (8)'!I65=Listes!$C$3,'1. DONNEES DE BASE'!$B$3*'FT_PROD (8)'!H65,TRUE,0)</f>
        <v>0.8</v>
      </c>
    </row>
    <row r="66" spans="2:10" ht="13.8">
      <c r="B66" s="270" t="s">
        <v>27</v>
      </c>
      <c r="C66" s="271">
        <v>120</v>
      </c>
      <c r="D66" s="271">
        <v>0</v>
      </c>
      <c r="E66" s="978">
        <f t="shared" si="5"/>
        <v>120</v>
      </c>
      <c r="F66" s="271"/>
      <c r="G66" s="271"/>
      <c r="H66" s="978">
        <f t="shared" si="6"/>
        <v>0</v>
      </c>
      <c r="I66" s="272"/>
      <c r="J66" s="979" cm="1">
        <f t="array" ref="J66">_xlfn.IFS(I66=Listes!$C$2,'1. DONNEES DE BASE'!$B$2*H66,'FT_PROD (8)'!I66=Listes!$C$3,'1. DONNEES DE BASE'!$B$3*'FT_PROD (8)'!H66,TRUE,0)</f>
        <v>0</v>
      </c>
    </row>
    <row r="67" spans="2:10" ht="13.8">
      <c r="B67" s="274" t="s">
        <v>167</v>
      </c>
      <c r="C67" s="271">
        <v>0</v>
      </c>
      <c r="D67" s="271">
        <v>0</v>
      </c>
      <c r="E67" s="978">
        <f t="shared" si="5"/>
        <v>0</v>
      </c>
      <c r="F67" s="271"/>
      <c r="G67" s="271"/>
      <c r="H67" s="978">
        <f t="shared" si="6"/>
        <v>0</v>
      </c>
      <c r="I67" s="272"/>
      <c r="J67" s="979" cm="1">
        <f t="array" ref="J67">_xlfn.IFS(I67=Listes!$C$2,'1. DONNEES DE BASE'!$B$2*H67,'FT_PROD (8)'!I67=Listes!$C$3,'1. DONNEES DE BASE'!$B$3*'FT_PROD (8)'!H67,TRUE,0)</f>
        <v>0</v>
      </c>
    </row>
    <row r="68" spans="2:10" ht="13.8">
      <c r="B68" s="274" t="s">
        <v>48</v>
      </c>
      <c r="C68" s="271">
        <v>0</v>
      </c>
      <c r="D68" s="271">
        <v>15</v>
      </c>
      <c r="E68" s="978">
        <f t="shared" si="5"/>
        <v>15</v>
      </c>
      <c r="F68" s="271" t="s">
        <v>171</v>
      </c>
      <c r="G68" s="271">
        <v>3.55</v>
      </c>
      <c r="H68" s="978">
        <f t="shared" si="6"/>
        <v>0.88749999999999996</v>
      </c>
      <c r="I68" s="272" t="s">
        <v>176</v>
      </c>
      <c r="J68" s="979" cm="1">
        <f t="array" ref="J68">_xlfn.IFS(I68=Listes!$C$2,'1. DONNEES DE BASE'!$B$2*H68,'FT_PROD (8)'!I68=Listes!$C$3,'1. DONNEES DE BASE'!$B$3*'FT_PROD (8)'!H68,TRUE,0)</f>
        <v>0.17749999999999999</v>
      </c>
    </row>
    <row r="69" spans="2:10" ht="13.8">
      <c r="B69" s="274" t="s">
        <v>283</v>
      </c>
      <c r="C69" s="271">
        <v>0</v>
      </c>
      <c r="D69" s="271">
        <v>0</v>
      </c>
      <c r="E69" s="978">
        <f t="shared" si="5"/>
        <v>0</v>
      </c>
      <c r="F69" s="271"/>
      <c r="G69" s="271"/>
      <c r="H69" s="978">
        <f t="shared" si="6"/>
        <v>0</v>
      </c>
      <c r="I69" s="272"/>
      <c r="J69" s="979" cm="1">
        <f t="array" ref="J69">_xlfn.IFS(I69=Listes!$C$2,'1. DONNEES DE BASE'!$B$2*H69,'FT_PROD (8)'!I69=Listes!$C$3,'1. DONNEES DE BASE'!$B$3*'FT_PROD (8)'!H69,TRUE,0)</f>
        <v>0</v>
      </c>
    </row>
    <row r="70" spans="2:10" ht="13.8">
      <c r="B70" s="274" t="s">
        <v>284</v>
      </c>
      <c r="C70" s="271">
        <v>0</v>
      </c>
      <c r="D70" s="271">
        <v>0</v>
      </c>
      <c r="E70" s="978">
        <f t="shared" si="5"/>
        <v>0</v>
      </c>
      <c r="F70" s="271"/>
      <c r="G70" s="271"/>
      <c r="H70" s="978">
        <f t="shared" si="6"/>
        <v>0</v>
      </c>
      <c r="I70" s="272"/>
      <c r="J70" s="979" cm="1">
        <f t="array" ref="J70">_xlfn.IFS(I70=Listes!$C$2,'1. DONNEES DE BASE'!$B$2*H70,'FT_PROD (8)'!I70=Listes!$C$3,'1. DONNEES DE BASE'!$B$3*'FT_PROD (8)'!H70,TRUE,0)</f>
        <v>0</v>
      </c>
    </row>
    <row r="71" spans="2:10" ht="13.8">
      <c r="B71" s="274" t="s">
        <v>285</v>
      </c>
      <c r="C71" s="271">
        <v>0</v>
      </c>
      <c r="D71" s="271">
        <v>0</v>
      </c>
      <c r="E71" s="978">
        <f t="shared" si="5"/>
        <v>0</v>
      </c>
      <c r="F71" s="271"/>
      <c r="G71" s="271"/>
      <c r="H71" s="978">
        <f t="shared" si="6"/>
        <v>0</v>
      </c>
      <c r="I71" s="272"/>
      <c r="J71" s="979" cm="1">
        <f t="array" ref="J71">_xlfn.IFS(I71=Listes!$C$2,'1. DONNEES DE BASE'!$B$2*H71,'FT_PROD (8)'!I71=Listes!$C$3,'1. DONNEES DE BASE'!$B$3*'FT_PROD (8)'!H71,TRUE,0)</f>
        <v>0</v>
      </c>
    </row>
    <row r="72" spans="2:10" ht="13.8">
      <c r="B72" s="274" t="s">
        <v>286</v>
      </c>
      <c r="C72" s="271">
        <v>0</v>
      </c>
      <c r="D72" s="271">
        <v>0</v>
      </c>
      <c r="E72" s="978">
        <f t="shared" si="5"/>
        <v>0</v>
      </c>
      <c r="F72" s="271"/>
      <c r="G72" s="271"/>
      <c r="H72" s="978">
        <f t="shared" si="6"/>
        <v>0</v>
      </c>
      <c r="I72" s="272"/>
      <c r="J72" s="979" cm="1">
        <f t="array" ref="J72">_xlfn.IFS(I72=Listes!$C$2,'1. DONNEES DE BASE'!$B$2*H72,'FT_PROD (8)'!I72=Listes!$C$3,'1. DONNEES DE BASE'!$B$3*'FT_PROD (8)'!H72,TRUE,0)</f>
        <v>0</v>
      </c>
    </row>
    <row r="73" spans="2:10" ht="14.4" thickBot="1">
      <c r="B73" s="980" t="s">
        <v>47</v>
      </c>
      <c r="C73" s="981">
        <f>SUM(C61:C72)</f>
        <v>288</v>
      </c>
      <c r="D73" s="981">
        <f>SUM(D61:D72)</f>
        <v>255</v>
      </c>
      <c r="E73" s="981">
        <f>SUM(E61:E72)</f>
        <v>543</v>
      </c>
      <c r="F73" s="981"/>
      <c r="G73" s="981"/>
      <c r="H73" s="981">
        <f>SUM(H61:H72)</f>
        <v>10.887499999999999</v>
      </c>
      <c r="I73" s="981"/>
      <c r="J73" s="10">
        <f>SUMIF(J61:J72,"&lt;&gt;#N/A")</f>
        <v>1.4593</v>
      </c>
    </row>
    <row r="76" spans="2:10">
      <c r="B76" s="275" t="s">
        <v>497</v>
      </c>
      <c r="C76" s="275"/>
    </row>
    <row r="77" spans="2:10">
      <c r="B77" s="276" t="s">
        <v>498</v>
      </c>
      <c r="C77" s="982">
        <f>SUMIFS(G17:G32,C17:C32,"Auto")</f>
        <v>175</v>
      </c>
    </row>
    <row r="78" spans="2:10">
      <c r="B78" s="276" t="s">
        <v>499</v>
      </c>
      <c r="C78" s="983">
        <f>C77/D8</f>
        <v>0.77777777777777779</v>
      </c>
    </row>
  </sheetData>
  <sheetProtection algorithmName="SHA-512" hashValue="WW6qyq4NgeGvE8c86Ka2uBCLGl/yOgZwOpHqhgdMRCirpoi4/uOyW4eBlszhaMxXLGkfhvzbyouLjMbaRnQ9yA==" saltValue="X7aOzhqYI4ZLsGohdytnDA==" spinCount="100000" sheet="1" objects="1" scenarios="1" formatCells="0" formatColumns="0" formatRows="0" insertRows="0" insertHyperlinks="0" sort="0" autoFilter="0" pivotTables="0"/>
  <protectedRanges>
    <protectedRange sqref="I61:I72" name="TYpe energie"/>
    <protectedRange sqref="C2:C3 D5:D6 D8 D10:D11 G11:G12" name="Données de base"/>
    <protectedRange sqref="I17:K32 I34:K42 B34:F42 B17:F32" name="Ingred et consommables"/>
    <protectedRange sqref="B61:D72 F61:G72" name="Energie et travail"/>
  </protectedRanges>
  <mergeCells count="17">
    <mergeCell ref="B33:F33"/>
    <mergeCell ref="H4:J4"/>
    <mergeCell ref="H5:J5"/>
    <mergeCell ref="H6:J6"/>
    <mergeCell ref="H7:J7"/>
    <mergeCell ref="H8:J8"/>
    <mergeCell ref="H9:J9"/>
    <mergeCell ref="H10:J10"/>
    <mergeCell ref="H11:J11"/>
    <mergeCell ref="H12:J12"/>
    <mergeCell ref="H13:J13"/>
    <mergeCell ref="I16:K16"/>
    <mergeCell ref="B43:F43"/>
    <mergeCell ref="B44:F44"/>
    <mergeCell ref="B48:G48"/>
    <mergeCell ref="I48:K48"/>
    <mergeCell ref="B59:J59"/>
  </mergeCells>
  <dataValidations count="2">
    <dataValidation type="list" allowBlank="1" showInputMessage="1" showErrorMessage="1" errorTitle="Consommable invalide" error="Veuillez sélectionner un consommable dans la liste." sqref="B34:B42" xr:uid="{98419002-28F0-464C-BA16-B71964C53A63}">
      <formula1>ListeConsommables</formula1>
    </dataValidation>
    <dataValidation type="list" allowBlank="1" showInputMessage="1" showErrorMessage="1" errorTitle="Ingrédient invalide" error="Veuillez sélectionner un ingrédient dans la liste." sqref="B17:B32" xr:uid="{283A5050-83D0-4958-9F68-9C0B9415268A}">
      <formula1>ListeIngredients</formula1>
    </dataValidation>
  </dataValidations>
  <pageMargins left="0.39370078740157483" right="0.39370078740157483" top="0.39370078740157483" bottom="0.39370078740157483" header="0.51181102362204722" footer="0.51181102362204722"/>
  <pageSetup paperSize="9" scale="65"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6C764AD1-EED3-4A6F-94D6-F3915826CA44}">
          <x14:formula1>
            <xm:f>Listes!$C$2:$C$5</xm:f>
          </x14:formula1>
          <xm:sqref>I61:I63 I65:I72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53EB4-CE45-4F74-8623-60C1AA19E597}">
  <dimension ref="A1:G47"/>
  <sheetViews>
    <sheetView workbookViewId="0">
      <selection activeCell="G48" sqref="G48"/>
    </sheetView>
  </sheetViews>
  <sheetFormatPr baseColWidth="10" defaultRowHeight="14.4"/>
  <cols>
    <col min="1" max="1" width="40.77734375" style="47" customWidth="1"/>
    <col min="2" max="5" width="11.5546875" style="47"/>
    <col min="6" max="6" width="38.6640625" style="47" customWidth="1"/>
    <col min="7" max="16384" width="11.5546875" style="47"/>
  </cols>
  <sheetData>
    <row r="1" spans="1:7">
      <c r="A1" s="47" t="s">
        <v>164</v>
      </c>
      <c r="C1" s="47" t="s">
        <v>174</v>
      </c>
      <c r="E1" s="47" t="s">
        <v>713</v>
      </c>
      <c r="F1" s="47" t="s">
        <v>433</v>
      </c>
    </row>
    <row r="2" spans="1:7">
      <c r="A2" s="277" t="s">
        <v>52</v>
      </c>
      <c r="C2" s="47" t="s">
        <v>175</v>
      </c>
      <c r="F2" s="126" t="s">
        <v>23</v>
      </c>
      <c r="G2" s="645" t="s">
        <v>308</v>
      </c>
    </row>
    <row r="3" spans="1:7">
      <c r="A3" s="278" t="s">
        <v>64</v>
      </c>
      <c r="C3" s="47" t="s">
        <v>176</v>
      </c>
      <c r="F3" s="126" t="s">
        <v>181</v>
      </c>
      <c r="G3" s="645" t="s">
        <v>313</v>
      </c>
    </row>
    <row r="4" spans="1:7">
      <c r="A4" s="278" t="s">
        <v>65</v>
      </c>
      <c r="C4" s="47" t="s">
        <v>51</v>
      </c>
      <c r="F4" s="126" t="s">
        <v>183</v>
      </c>
      <c r="G4" s="645" t="s">
        <v>309</v>
      </c>
    </row>
    <row r="5" spans="1:7">
      <c r="A5" s="279" t="s">
        <v>67</v>
      </c>
      <c r="F5" s="126" t="s">
        <v>184</v>
      </c>
      <c r="G5" s="645" t="s">
        <v>310</v>
      </c>
    </row>
    <row r="6" spans="1:7">
      <c r="A6" s="280" t="s">
        <v>68</v>
      </c>
      <c r="F6" s="126" t="s">
        <v>185</v>
      </c>
      <c r="G6" s="645" t="s">
        <v>311</v>
      </c>
    </row>
    <row r="7" spans="1:7">
      <c r="A7" s="279" t="s">
        <v>69</v>
      </c>
      <c r="F7" s="126" t="s">
        <v>182</v>
      </c>
      <c r="G7" s="645" t="s">
        <v>312</v>
      </c>
    </row>
    <row r="8" spans="1:7">
      <c r="A8" s="280" t="s">
        <v>70</v>
      </c>
      <c r="F8" s="126" t="s">
        <v>412</v>
      </c>
      <c r="G8" s="645" t="s">
        <v>413</v>
      </c>
    </row>
    <row r="9" spans="1:7">
      <c r="A9" s="984" t="s">
        <v>62</v>
      </c>
      <c r="F9" s="126" t="s">
        <v>274</v>
      </c>
      <c r="G9" s="645" t="s">
        <v>401</v>
      </c>
    </row>
    <row r="10" spans="1:7">
      <c r="A10" s="37"/>
      <c r="F10" s="126" t="s">
        <v>376</v>
      </c>
      <c r="G10" s="645" t="s">
        <v>389</v>
      </c>
    </row>
    <row r="11" spans="1:7">
      <c r="A11" s="37"/>
      <c r="F11" s="126" t="s">
        <v>377</v>
      </c>
      <c r="G11" s="645" t="s">
        <v>390</v>
      </c>
    </row>
    <row r="12" spans="1:7">
      <c r="A12" s="37"/>
      <c r="F12" s="139" t="s">
        <v>388</v>
      </c>
      <c r="G12" s="645" t="s">
        <v>387</v>
      </c>
    </row>
    <row r="13" spans="1:7">
      <c r="A13" s="37"/>
      <c r="F13" s="139" t="s">
        <v>392</v>
      </c>
      <c r="G13" s="645" t="s">
        <v>393</v>
      </c>
    </row>
    <row r="14" spans="1:7">
      <c r="A14" s="37"/>
      <c r="F14" s="139" t="s">
        <v>391</v>
      </c>
      <c r="G14" s="645" t="s">
        <v>382</v>
      </c>
    </row>
    <row r="15" spans="1:7">
      <c r="A15" s="37"/>
      <c r="F15" s="139" t="s">
        <v>380</v>
      </c>
      <c r="G15" s="645" t="s">
        <v>383</v>
      </c>
    </row>
    <row r="16" spans="1:7">
      <c r="A16" s="37"/>
      <c r="F16" s="139" t="s">
        <v>381</v>
      </c>
      <c r="G16" s="645" t="s">
        <v>384</v>
      </c>
    </row>
    <row r="17" spans="1:7">
      <c r="A17" s="37"/>
      <c r="F17" s="139" t="s">
        <v>409</v>
      </c>
      <c r="G17" s="645" t="s">
        <v>385</v>
      </c>
    </row>
    <row r="18" spans="1:7">
      <c r="A18" s="37"/>
      <c r="F18" s="127" t="s">
        <v>410</v>
      </c>
      <c r="G18" s="645" t="s">
        <v>411</v>
      </c>
    </row>
    <row r="19" spans="1:7">
      <c r="A19" s="37"/>
      <c r="F19" s="127" t="s">
        <v>480</v>
      </c>
      <c r="G19" s="713" t="s">
        <v>386</v>
      </c>
    </row>
    <row r="20" spans="1:7">
      <c r="A20" s="37"/>
      <c r="F20" s="281" t="s">
        <v>39</v>
      </c>
      <c r="G20" s="985" t="s">
        <v>434</v>
      </c>
    </row>
    <row r="21" spans="1:7">
      <c r="A21" s="37"/>
      <c r="F21" s="281" t="s">
        <v>435</v>
      </c>
      <c r="G21" s="985" t="s">
        <v>436</v>
      </c>
    </row>
    <row r="22" spans="1:7">
      <c r="A22" s="37"/>
      <c r="F22" s="281" t="s">
        <v>36</v>
      </c>
      <c r="G22" s="985" t="s">
        <v>413</v>
      </c>
    </row>
    <row r="23" spans="1:7">
      <c r="A23" s="37"/>
      <c r="F23" s="281" t="s">
        <v>34</v>
      </c>
      <c r="G23" s="985" t="s">
        <v>437</v>
      </c>
    </row>
    <row r="24" spans="1:7">
      <c r="A24" s="37"/>
      <c r="F24" s="281" t="s">
        <v>438</v>
      </c>
      <c r="G24" s="985" t="s">
        <v>439</v>
      </c>
    </row>
    <row r="25" spans="1:7">
      <c r="A25" s="37"/>
      <c r="F25" s="281" t="s">
        <v>33</v>
      </c>
      <c r="G25" s="985" t="s">
        <v>440</v>
      </c>
    </row>
    <row r="26" spans="1:7">
      <c r="A26" s="37"/>
      <c r="F26" s="281" t="s">
        <v>24</v>
      </c>
      <c r="G26" s="985" t="s">
        <v>441</v>
      </c>
    </row>
    <row r="27" spans="1:7">
      <c r="A27" s="37"/>
      <c r="F27" s="281" t="s">
        <v>442</v>
      </c>
      <c r="G27" s="985" t="s">
        <v>443</v>
      </c>
    </row>
    <row r="28" spans="1:7">
      <c r="A28" s="37"/>
      <c r="F28" s="281" t="s">
        <v>444</v>
      </c>
      <c r="G28" s="985" t="s">
        <v>445</v>
      </c>
    </row>
    <row r="29" spans="1:7">
      <c r="A29" s="37"/>
      <c r="F29" s="281" t="s">
        <v>446</v>
      </c>
      <c r="G29" s="985" t="s">
        <v>319</v>
      </c>
    </row>
    <row r="30" spans="1:7">
      <c r="A30" s="37"/>
      <c r="F30" s="281" t="s">
        <v>447</v>
      </c>
      <c r="G30" s="985" t="s">
        <v>448</v>
      </c>
    </row>
    <row r="31" spans="1:7">
      <c r="A31" s="37"/>
      <c r="F31" s="281" t="s">
        <v>449</v>
      </c>
      <c r="G31" s="985" t="s">
        <v>450</v>
      </c>
    </row>
    <row r="32" spans="1:7">
      <c r="A32" s="37"/>
      <c r="F32" s="281" t="s">
        <v>451</v>
      </c>
      <c r="G32" s="985" t="s">
        <v>452</v>
      </c>
    </row>
    <row r="33" spans="1:7">
      <c r="A33" s="37"/>
      <c r="F33" s="281" t="s">
        <v>453</v>
      </c>
      <c r="G33" s="985" t="s">
        <v>454</v>
      </c>
    </row>
    <row r="34" spans="1:7">
      <c r="A34" s="37"/>
      <c r="F34" s="281" t="s">
        <v>455</v>
      </c>
      <c r="G34" s="985" t="s">
        <v>456</v>
      </c>
    </row>
    <row r="35" spans="1:7">
      <c r="A35" s="37"/>
      <c r="F35" s="281" t="s">
        <v>457</v>
      </c>
      <c r="G35" s="985" t="s">
        <v>458</v>
      </c>
    </row>
    <row r="36" spans="1:7">
      <c r="A36" s="37"/>
      <c r="F36" s="281" t="s">
        <v>459</v>
      </c>
      <c r="G36" s="985" t="s">
        <v>460</v>
      </c>
    </row>
    <row r="37" spans="1:7">
      <c r="A37" s="37"/>
      <c r="F37" s="281" t="s">
        <v>461</v>
      </c>
      <c r="G37" s="985" t="s">
        <v>462</v>
      </c>
    </row>
    <row r="38" spans="1:7">
      <c r="A38" s="37"/>
      <c r="F38" s="281" t="s">
        <v>463</v>
      </c>
      <c r="G38" s="985" t="s">
        <v>464</v>
      </c>
    </row>
    <row r="39" spans="1:7">
      <c r="A39" s="37"/>
      <c r="F39" s="281" t="s">
        <v>465</v>
      </c>
      <c r="G39" s="985" t="s">
        <v>466</v>
      </c>
    </row>
    <row r="40" spans="1:7">
      <c r="F40" s="281" t="s">
        <v>467</v>
      </c>
      <c r="G40" s="985" t="s">
        <v>468</v>
      </c>
    </row>
    <row r="41" spans="1:7">
      <c r="F41" s="281" t="s">
        <v>469</v>
      </c>
      <c r="G41" s="985" t="s">
        <v>470</v>
      </c>
    </row>
    <row r="42" spans="1:7">
      <c r="F42" s="281" t="s">
        <v>471</v>
      </c>
      <c r="G42" s="985" t="s">
        <v>386</v>
      </c>
    </row>
    <row r="43" spans="1:7">
      <c r="F43" s="281" t="s">
        <v>472</v>
      </c>
      <c r="G43" s="985" t="s">
        <v>473</v>
      </c>
    </row>
    <row r="44" spans="1:7">
      <c r="F44" s="281" t="s">
        <v>474</v>
      </c>
      <c r="G44" s="985" t="s">
        <v>475</v>
      </c>
    </row>
    <row r="45" spans="1:7">
      <c r="F45" s="281" t="s">
        <v>476</v>
      </c>
      <c r="G45" s="985" t="s">
        <v>477</v>
      </c>
    </row>
    <row r="46" spans="1:7">
      <c r="F46" s="281" t="s">
        <v>478</v>
      </c>
      <c r="G46" s="985" t="s">
        <v>479</v>
      </c>
    </row>
    <row r="47" spans="1:7">
      <c r="F47" s="282" t="s">
        <v>504</v>
      </c>
      <c r="G47" s="986" t="s">
        <v>505</v>
      </c>
    </row>
  </sheetData>
  <sheetProtection algorithmName="SHA-512" hashValue="BTy7mBMyBcYuWixCgEoI59/As9Zc8sa0U+x/3EfNG9tW8QUBNTKL8tjSTAUqW3lyQ6T077Dxr3jbfQ164wBorQ==" saltValue="V6xL4WWJ8i/xCCbdRmzRjQ==" spinCount="100000" sheet="1" objects="1" scenarios="1" formatCells="0" formatColumns="0" formatRows="0" insertRows="0" insertHyperlink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F05F0-6E10-499A-857D-048DC71C0FE6}">
  <sheetPr>
    <tabColor theme="0"/>
    <pageSetUpPr fitToPage="1"/>
  </sheetPr>
  <dimension ref="B1:AC55"/>
  <sheetViews>
    <sheetView showGridLines="0" topLeftCell="G19" zoomScale="85" zoomScaleNormal="85" zoomScaleSheetLayoutView="55" workbookViewId="0">
      <selection activeCell="F19" sqref="F19"/>
    </sheetView>
  </sheetViews>
  <sheetFormatPr baseColWidth="10" defaultColWidth="11.44140625" defaultRowHeight="13.8"/>
  <cols>
    <col min="1" max="1" width="12.88671875" style="49" customWidth="1"/>
    <col min="2" max="2" width="39.6640625" style="75" customWidth="1"/>
    <col min="3" max="3" width="13.44140625" style="49" customWidth="1"/>
    <col min="4" max="4" width="19.5546875" style="76" customWidth="1"/>
    <col min="5" max="5" width="14.6640625" style="76" customWidth="1"/>
    <col min="6" max="6" width="31.44140625" style="49" customWidth="1"/>
    <col min="7" max="7" width="9.109375" style="49" bestFit="1" customWidth="1"/>
    <col min="8" max="8" width="6.6640625" style="49" customWidth="1"/>
    <col min="9" max="9" width="18.44140625" style="49" bestFit="1" customWidth="1"/>
    <col min="10" max="10" width="7" style="49" customWidth="1"/>
    <col min="11" max="11" width="11.88671875" style="49" customWidth="1"/>
    <col min="12" max="12" width="13.88671875" style="49" customWidth="1"/>
    <col min="13" max="13" width="13.77734375" style="54" customWidth="1"/>
    <col min="14" max="20" width="15.6640625" style="49" customWidth="1"/>
    <col min="21" max="21" width="13" style="49" customWidth="1"/>
    <col min="22" max="22" width="8.21875" style="49" customWidth="1"/>
    <col min="23" max="23" width="12.109375" style="53" bestFit="1" customWidth="1"/>
    <col min="24" max="16384" width="11.44140625" style="49"/>
  </cols>
  <sheetData>
    <row r="1" spans="2:29" s="463" customFormat="1"/>
    <row r="2" spans="2:29" s="463" customFormat="1" ht="13.2" customHeight="1">
      <c r="B2" s="464"/>
      <c r="C2" s="464"/>
      <c r="D2" s="464"/>
      <c r="E2" s="464"/>
      <c r="F2" s="464"/>
      <c r="G2" s="464"/>
      <c r="H2" s="464"/>
      <c r="I2" s="464"/>
      <c r="J2" s="464"/>
      <c r="K2" s="464"/>
      <c r="L2" s="465"/>
    </row>
    <row r="3" spans="2:29" s="463" customFormat="1" ht="13.2" customHeight="1">
      <c r="B3" s="464"/>
      <c r="C3" s="464"/>
      <c r="D3" s="464"/>
      <c r="E3" s="464"/>
      <c r="F3" s="464"/>
      <c r="G3" s="464"/>
      <c r="H3" s="464"/>
      <c r="I3" s="464"/>
      <c r="J3" s="464"/>
      <c r="K3" s="464"/>
      <c r="L3" s="466"/>
    </row>
    <row r="4" spans="2:29" s="463" customFormat="1" ht="13.2" customHeight="1">
      <c r="B4" s="467"/>
      <c r="C4" s="467"/>
      <c r="D4" s="467"/>
      <c r="E4" s="467"/>
      <c r="F4" s="467"/>
      <c r="G4" s="467"/>
      <c r="H4" s="467"/>
      <c r="I4" s="467"/>
      <c r="J4" s="467"/>
      <c r="K4" s="467"/>
      <c r="L4" s="49"/>
    </row>
    <row r="5" spans="2:29" s="53" customFormat="1">
      <c r="B5" s="49"/>
      <c r="C5" s="49"/>
      <c r="D5" s="50"/>
      <c r="E5" s="50"/>
      <c r="F5" s="51"/>
      <c r="G5" s="52"/>
      <c r="H5" s="52"/>
      <c r="I5" s="52"/>
      <c r="J5" s="51"/>
      <c r="L5" s="49"/>
      <c r="M5" s="54"/>
      <c r="N5" s="49"/>
      <c r="O5" s="49"/>
      <c r="P5" s="468" t="s">
        <v>82</v>
      </c>
      <c r="Q5" s="49"/>
      <c r="R5" s="49"/>
      <c r="S5" s="49"/>
      <c r="T5" s="49"/>
      <c r="U5" s="49"/>
      <c r="V5" s="49"/>
      <c r="X5" s="49"/>
      <c r="Y5" s="49"/>
      <c r="Z5" s="49"/>
      <c r="AA5" s="49"/>
      <c r="AB5" s="49"/>
      <c r="AC5" s="49"/>
    </row>
    <row r="6" spans="2:29" s="53" customFormat="1">
      <c r="B6" s="469" t="s">
        <v>71</v>
      </c>
      <c r="C6" s="470" t="s">
        <v>63</v>
      </c>
      <c r="D6" s="471" t="s">
        <v>66</v>
      </c>
      <c r="E6" s="471" t="s">
        <v>258</v>
      </c>
      <c r="F6" s="472" t="s">
        <v>50</v>
      </c>
      <c r="G6" s="473"/>
      <c r="H6" s="473"/>
      <c r="I6" s="473"/>
      <c r="J6" s="474"/>
      <c r="K6" s="475" t="s">
        <v>165</v>
      </c>
      <c r="L6" s="477" t="str">
        <f>"avant "&amp;M6</f>
        <v>avant 2023</v>
      </c>
      <c r="M6" s="477">
        <f>'1. DONNEES DE BASE'!B1-3</f>
        <v>2023</v>
      </c>
      <c r="N6" s="477">
        <f>M6+1</f>
        <v>2024</v>
      </c>
      <c r="O6" s="477">
        <f t="shared" ref="O6:T6" si="0">N6+1</f>
        <v>2025</v>
      </c>
      <c r="P6" s="477">
        <f t="shared" si="0"/>
        <v>2026</v>
      </c>
      <c r="Q6" s="477">
        <f t="shared" si="0"/>
        <v>2027</v>
      </c>
      <c r="R6" s="477">
        <f t="shared" si="0"/>
        <v>2028</v>
      </c>
      <c r="S6" s="477">
        <f t="shared" si="0"/>
        <v>2029</v>
      </c>
      <c r="T6" s="477">
        <f t="shared" si="0"/>
        <v>2030</v>
      </c>
      <c r="U6" s="478" t="str">
        <f>"après "&amp;T6</f>
        <v>après 2030</v>
      </c>
      <c r="V6" s="478" t="s">
        <v>259</v>
      </c>
      <c r="X6" s="49"/>
      <c r="Y6" s="49"/>
      <c r="Z6" s="49"/>
      <c r="AA6" s="49"/>
      <c r="AB6" s="49"/>
      <c r="AC6" s="49"/>
    </row>
    <row r="7" spans="2:29">
      <c r="B7" s="55" t="s">
        <v>52</v>
      </c>
      <c r="C7" s="56">
        <v>2023</v>
      </c>
      <c r="D7" s="57">
        <v>3000</v>
      </c>
      <c r="E7" s="58">
        <v>1</v>
      </c>
      <c r="F7" s="59" t="s">
        <v>53</v>
      </c>
      <c r="G7" s="60"/>
      <c r="H7" s="60"/>
      <c r="I7" s="60"/>
      <c r="J7" s="61"/>
      <c r="K7" s="62">
        <v>5</v>
      </c>
      <c r="L7" s="2">
        <f>IF(C7&lt;$P$6-3,MIN(K7,$P$6-3-C7)*(D7*E7/K7),0)</f>
        <v>0</v>
      </c>
      <c r="M7" s="2">
        <f t="shared" ref="M7:T8" si="1">IF(M$6&lt;$C7,0,IF(M$6&gt;($C7+$K7-1),0,SLN($D7*$E7,0,$K7)))</f>
        <v>600</v>
      </c>
      <c r="N7" s="2">
        <f t="shared" si="1"/>
        <v>600</v>
      </c>
      <c r="O7" s="2">
        <f t="shared" si="1"/>
        <v>600</v>
      </c>
      <c r="P7" s="2">
        <f t="shared" si="1"/>
        <v>600</v>
      </c>
      <c r="Q7" s="2">
        <f t="shared" si="1"/>
        <v>600</v>
      </c>
      <c r="R7" s="2">
        <f t="shared" si="1"/>
        <v>0</v>
      </c>
      <c r="S7" s="2">
        <f t="shared" si="1"/>
        <v>0</v>
      </c>
      <c r="T7" s="2">
        <f t="shared" si="1"/>
        <v>0</v>
      </c>
      <c r="U7" s="2">
        <f>IF(T7=0,0,(D7*E7)-(SUM(L7:T7)))</f>
        <v>0</v>
      </c>
      <c r="V7" s="1" t="str">
        <f>IF(SUM(L7:U7)=D7*E7,"OK","PROBLEME")</f>
        <v>OK</v>
      </c>
      <c r="X7" s="476"/>
    </row>
    <row r="8" spans="2:29">
      <c r="B8" s="55" t="s">
        <v>52</v>
      </c>
      <c r="C8" s="56">
        <v>2021</v>
      </c>
      <c r="D8" s="57">
        <v>0</v>
      </c>
      <c r="E8" s="58">
        <v>1</v>
      </c>
      <c r="F8" s="59" t="s">
        <v>54</v>
      </c>
      <c r="G8" s="60"/>
      <c r="H8" s="60"/>
      <c r="I8" s="60"/>
      <c r="J8" s="61"/>
      <c r="K8" s="62">
        <v>5</v>
      </c>
      <c r="L8" s="2">
        <f t="shared" ref="L8:L41" si="2">IF(C8&lt;$P$6-3,MIN(K8,$P$6-3-C8)*(D8*E8/K8),0)</f>
        <v>0</v>
      </c>
      <c r="M8" s="2">
        <f t="shared" si="1"/>
        <v>0</v>
      </c>
      <c r="N8" s="2">
        <f t="shared" si="1"/>
        <v>0</v>
      </c>
      <c r="O8" s="2">
        <f t="shared" si="1"/>
        <v>0</v>
      </c>
      <c r="P8" s="2">
        <f t="shared" si="1"/>
        <v>0</v>
      </c>
      <c r="Q8" s="2">
        <f t="shared" si="1"/>
        <v>0</v>
      </c>
      <c r="R8" s="2">
        <f t="shared" si="1"/>
        <v>0</v>
      </c>
      <c r="S8" s="2">
        <f t="shared" si="1"/>
        <v>0</v>
      </c>
      <c r="T8" s="2">
        <f t="shared" si="1"/>
        <v>0</v>
      </c>
      <c r="U8" s="2">
        <f t="shared" ref="U8:U15" si="3">IF(T8=0,0,(D8*E8)-(SUM(L8:T8)))</f>
        <v>0</v>
      </c>
      <c r="V8" s="1" t="str">
        <f t="shared" ref="V8:V41" si="4">IF(SUM(L8:U8)=D8*E8,"OK","PROBLEME")</f>
        <v>OK</v>
      </c>
      <c r="W8" s="49"/>
    </row>
    <row r="9" spans="2:29">
      <c r="B9" s="55" t="s">
        <v>52</v>
      </c>
      <c r="C9" s="56">
        <v>2020</v>
      </c>
      <c r="D9" s="57">
        <v>1500</v>
      </c>
      <c r="E9" s="58">
        <v>1</v>
      </c>
      <c r="F9" s="59" t="s">
        <v>55</v>
      </c>
      <c r="G9" s="60"/>
      <c r="H9" s="60"/>
      <c r="I9" s="60"/>
      <c r="J9" s="61"/>
      <c r="K9" s="62">
        <v>3</v>
      </c>
      <c r="L9" s="2">
        <f t="shared" si="2"/>
        <v>1500</v>
      </c>
      <c r="M9" s="2">
        <f>IF(M$6&lt;$C9,0,IF(M$6&gt;($C9+$K9-1),0,SLN($D9*$E9,0,$K9)))</f>
        <v>0</v>
      </c>
      <c r="N9" s="2">
        <f t="shared" ref="N9:T22" si="5">IF(N$6&lt;$C9,0,IF(N$6&gt;($C9+$K9-1),0,SLN($D9*$E9,0,$K9)))</f>
        <v>0</v>
      </c>
      <c r="O9" s="2">
        <f t="shared" si="5"/>
        <v>0</v>
      </c>
      <c r="P9" s="2">
        <f t="shared" si="5"/>
        <v>0</v>
      </c>
      <c r="Q9" s="2">
        <f t="shared" si="5"/>
        <v>0</v>
      </c>
      <c r="R9" s="2">
        <f t="shared" si="5"/>
        <v>0</v>
      </c>
      <c r="S9" s="2">
        <f t="shared" si="5"/>
        <v>0</v>
      </c>
      <c r="T9" s="2">
        <f t="shared" si="5"/>
        <v>0</v>
      </c>
      <c r="U9" s="2">
        <f t="shared" si="3"/>
        <v>0</v>
      </c>
      <c r="V9" s="1" t="str">
        <f t="shared" si="4"/>
        <v>OK</v>
      </c>
      <c r="X9" s="476"/>
      <c r="Y9" s="476"/>
    </row>
    <row r="10" spans="2:29">
      <c r="B10" s="55" t="s">
        <v>52</v>
      </c>
      <c r="C10" s="56">
        <v>2021</v>
      </c>
      <c r="D10" s="57">
        <v>0</v>
      </c>
      <c r="E10" s="58">
        <v>1</v>
      </c>
      <c r="F10" s="59" t="s">
        <v>56</v>
      </c>
      <c r="G10" s="60"/>
      <c r="H10" s="60"/>
      <c r="I10" s="60"/>
      <c r="J10" s="61"/>
      <c r="K10" s="62">
        <v>5</v>
      </c>
      <c r="L10" s="2">
        <f t="shared" si="2"/>
        <v>0</v>
      </c>
      <c r="M10" s="2">
        <f t="shared" ref="M10:T41" si="6">IF(M$6&lt;$C10,0,IF(M$6&gt;($C10+$K10-1),0,SLN($D10*$E10,0,$K10)))</f>
        <v>0</v>
      </c>
      <c r="N10" s="2">
        <f t="shared" si="5"/>
        <v>0</v>
      </c>
      <c r="O10" s="2">
        <f t="shared" si="5"/>
        <v>0</v>
      </c>
      <c r="P10" s="2">
        <f t="shared" si="5"/>
        <v>0</v>
      </c>
      <c r="Q10" s="2">
        <f t="shared" si="5"/>
        <v>0</v>
      </c>
      <c r="R10" s="2">
        <f t="shared" si="5"/>
        <v>0</v>
      </c>
      <c r="S10" s="2">
        <f t="shared" si="5"/>
        <v>0</v>
      </c>
      <c r="T10" s="2">
        <f t="shared" si="5"/>
        <v>0</v>
      </c>
      <c r="U10" s="2">
        <f t="shared" si="3"/>
        <v>0</v>
      </c>
      <c r="V10" s="1" t="str">
        <f t="shared" si="4"/>
        <v>OK</v>
      </c>
      <c r="X10" s="476"/>
      <c r="Y10" s="476"/>
    </row>
    <row r="11" spans="2:29">
      <c r="B11" s="63" t="s">
        <v>64</v>
      </c>
      <c r="C11" s="56">
        <v>2021</v>
      </c>
      <c r="D11" s="57">
        <v>0</v>
      </c>
      <c r="E11" s="58">
        <v>1</v>
      </c>
      <c r="F11" s="59" t="s">
        <v>57</v>
      </c>
      <c r="G11" s="60"/>
      <c r="H11" s="60"/>
      <c r="I11" s="60"/>
      <c r="J11" s="61"/>
      <c r="K11" s="62">
        <v>30</v>
      </c>
      <c r="L11" s="2">
        <f t="shared" si="2"/>
        <v>0</v>
      </c>
      <c r="M11" s="2">
        <f t="shared" si="6"/>
        <v>0</v>
      </c>
      <c r="N11" s="2">
        <f t="shared" si="5"/>
        <v>0</v>
      </c>
      <c r="O11" s="2">
        <f t="shared" si="5"/>
        <v>0</v>
      </c>
      <c r="P11" s="2">
        <f t="shared" si="5"/>
        <v>0</v>
      </c>
      <c r="Q11" s="2">
        <f t="shared" si="5"/>
        <v>0</v>
      </c>
      <c r="R11" s="2">
        <f t="shared" si="5"/>
        <v>0</v>
      </c>
      <c r="S11" s="2">
        <f t="shared" si="5"/>
        <v>0</v>
      </c>
      <c r="T11" s="2">
        <f t="shared" si="5"/>
        <v>0</v>
      </c>
      <c r="U11" s="2">
        <f t="shared" si="3"/>
        <v>0</v>
      </c>
      <c r="V11" s="1" t="str">
        <f t="shared" si="4"/>
        <v>OK</v>
      </c>
    </row>
    <row r="12" spans="2:29" ht="13.2" customHeight="1">
      <c r="B12" s="63" t="s">
        <v>65</v>
      </c>
      <c r="C12" s="56">
        <v>2021</v>
      </c>
      <c r="D12" s="57"/>
      <c r="E12" s="58">
        <v>1</v>
      </c>
      <c r="F12" s="59" t="s">
        <v>58</v>
      </c>
      <c r="G12" s="60"/>
      <c r="H12" s="60"/>
      <c r="I12" s="60"/>
      <c r="J12" s="61"/>
      <c r="K12" s="62">
        <v>10</v>
      </c>
      <c r="L12" s="2">
        <f t="shared" si="2"/>
        <v>0</v>
      </c>
      <c r="M12" s="2">
        <f t="shared" si="6"/>
        <v>0</v>
      </c>
      <c r="N12" s="2">
        <f t="shared" si="5"/>
        <v>0</v>
      </c>
      <c r="O12" s="2">
        <f t="shared" si="5"/>
        <v>0</v>
      </c>
      <c r="P12" s="2">
        <f t="shared" si="5"/>
        <v>0</v>
      </c>
      <c r="Q12" s="2">
        <f t="shared" si="5"/>
        <v>0</v>
      </c>
      <c r="R12" s="2">
        <f t="shared" si="5"/>
        <v>0</v>
      </c>
      <c r="S12" s="2">
        <f t="shared" si="5"/>
        <v>0</v>
      </c>
      <c r="T12" s="2">
        <f t="shared" si="5"/>
        <v>0</v>
      </c>
      <c r="U12" s="2">
        <f t="shared" si="3"/>
        <v>0</v>
      </c>
      <c r="V12" s="1" t="str">
        <f t="shared" si="4"/>
        <v>OK</v>
      </c>
    </row>
    <row r="13" spans="2:29" ht="13.2" customHeight="1">
      <c r="B13" s="63" t="s">
        <v>65</v>
      </c>
      <c r="C13" s="56">
        <v>2018</v>
      </c>
      <c r="D13" s="57">
        <v>30000</v>
      </c>
      <c r="E13" s="58">
        <v>0.6</v>
      </c>
      <c r="F13" s="59" t="s">
        <v>59</v>
      </c>
      <c r="G13" s="60"/>
      <c r="H13" s="60"/>
      <c r="I13" s="60"/>
      <c r="J13" s="61"/>
      <c r="K13" s="62">
        <v>10</v>
      </c>
      <c r="L13" s="2">
        <f t="shared" si="2"/>
        <v>9000</v>
      </c>
      <c r="M13" s="2">
        <f>IF(M$6&lt;$C13,0,IF(M$6&gt;($C13+$K13-1),0,SLN($D13*$E13,0,$K13)))</f>
        <v>1800</v>
      </c>
      <c r="N13" s="2">
        <f t="shared" si="5"/>
        <v>1800</v>
      </c>
      <c r="O13" s="2">
        <f t="shared" si="5"/>
        <v>1800</v>
      </c>
      <c r="P13" s="2">
        <f t="shared" si="5"/>
        <v>1800</v>
      </c>
      <c r="Q13" s="2">
        <f t="shared" si="5"/>
        <v>1800</v>
      </c>
      <c r="R13" s="2">
        <f t="shared" si="5"/>
        <v>0</v>
      </c>
      <c r="S13" s="2">
        <f t="shared" si="5"/>
        <v>0</v>
      </c>
      <c r="T13" s="2">
        <f t="shared" si="5"/>
        <v>0</v>
      </c>
      <c r="U13" s="2">
        <f t="shared" si="3"/>
        <v>0</v>
      </c>
      <c r="V13" s="1" t="str">
        <f t="shared" si="4"/>
        <v>OK</v>
      </c>
    </row>
    <row r="14" spans="2:29" ht="13.2" customHeight="1">
      <c r="B14" s="63" t="s">
        <v>65</v>
      </c>
      <c r="C14" s="56">
        <v>2021</v>
      </c>
      <c r="D14" s="57">
        <v>0</v>
      </c>
      <c r="E14" s="58">
        <v>1</v>
      </c>
      <c r="F14" s="59" t="s">
        <v>60</v>
      </c>
      <c r="G14" s="60"/>
      <c r="H14" s="60"/>
      <c r="I14" s="60"/>
      <c r="J14" s="61"/>
      <c r="K14" s="62">
        <v>10</v>
      </c>
      <c r="L14" s="2">
        <f t="shared" si="2"/>
        <v>0</v>
      </c>
      <c r="M14" s="2">
        <f t="shared" si="6"/>
        <v>0</v>
      </c>
      <c r="N14" s="2">
        <f t="shared" si="5"/>
        <v>0</v>
      </c>
      <c r="O14" s="2">
        <f t="shared" si="5"/>
        <v>0</v>
      </c>
      <c r="P14" s="2">
        <f t="shared" si="5"/>
        <v>0</v>
      </c>
      <c r="Q14" s="2">
        <f t="shared" si="5"/>
        <v>0</v>
      </c>
      <c r="R14" s="2">
        <f t="shared" si="5"/>
        <v>0</v>
      </c>
      <c r="S14" s="2">
        <f t="shared" si="5"/>
        <v>0</v>
      </c>
      <c r="T14" s="2">
        <f t="shared" si="5"/>
        <v>0</v>
      </c>
      <c r="U14" s="2">
        <f t="shared" si="3"/>
        <v>0</v>
      </c>
      <c r="V14" s="1" t="str">
        <f t="shared" si="4"/>
        <v>OK</v>
      </c>
    </row>
    <row r="15" spans="2:29">
      <c r="B15" s="64" t="s">
        <v>67</v>
      </c>
      <c r="C15" s="56">
        <v>2010</v>
      </c>
      <c r="D15" s="57">
        <v>15000</v>
      </c>
      <c r="E15" s="58">
        <v>0.3</v>
      </c>
      <c r="F15" s="59" t="s">
        <v>72</v>
      </c>
      <c r="G15" s="60"/>
      <c r="H15" s="60"/>
      <c r="I15" s="60"/>
      <c r="J15" s="61"/>
      <c r="K15" s="62">
        <v>5</v>
      </c>
      <c r="L15" s="2">
        <f t="shared" si="2"/>
        <v>4500</v>
      </c>
      <c r="M15" s="2">
        <f t="shared" si="6"/>
        <v>0</v>
      </c>
      <c r="N15" s="2">
        <f t="shared" si="5"/>
        <v>0</v>
      </c>
      <c r="O15" s="2">
        <f t="shared" si="5"/>
        <v>0</v>
      </c>
      <c r="P15" s="2">
        <f t="shared" si="5"/>
        <v>0</v>
      </c>
      <c r="Q15" s="2">
        <f t="shared" si="5"/>
        <v>0</v>
      </c>
      <c r="R15" s="2">
        <f t="shared" si="5"/>
        <v>0</v>
      </c>
      <c r="S15" s="2">
        <f t="shared" si="5"/>
        <v>0</v>
      </c>
      <c r="T15" s="2">
        <f t="shared" si="5"/>
        <v>0</v>
      </c>
      <c r="U15" s="2">
        <f t="shared" si="3"/>
        <v>0</v>
      </c>
      <c r="V15" s="1" t="str">
        <f t="shared" si="4"/>
        <v>OK</v>
      </c>
    </row>
    <row r="16" spans="2:29">
      <c r="B16" s="64" t="s">
        <v>67</v>
      </c>
      <c r="C16" s="56">
        <v>2019</v>
      </c>
      <c r="D16" s="57">
        <v>11000</v>
      </c>
      <c r="E16" s="58">
        <v>1</v>
      </c>
      <c r="F16" s="59" t="s">
        <v>160</v>
      </c>
      <c r="G16" s="60"/>
      <c r="H16" s="60"/>
      <c r="I16" s="60"/>
      <c r="J16" s="61"/>
      <c r="K16" s="62">
        <v>5</v>
      </c>
      <c r="L16" s="2">
        <f t="shared" si="2"/>
        <v>8800</v>
      </c>
      <c r="M16" s="2">
        <f t="shared" si="6"/>
        <v>2200</v>
      </c>
      <c r="N16" s="2">
        <f t="shared" si="5"/>
        <v>0</v>
      </c>
      <c r="O16" s="2">
        <f t="shared" si="5"/>
        <v>0</v>
      </c>
      <c r="P16" s="2">
        <f t="shared" si="5"/>
        <v>0</v>
      </c>
      <c r="Q16" s="2">
        <f t="shared" si="5"/>
        <v>0</v>
      </c>
      <c r="R16" s="2">
        <f t="shared" si="5"/>
        <v>0</v>
      </c>
      <c r="S16" s="2">
        <f t="shared" si="5"/>
        <v>0</v>
      </c>
      <c r="T16" s="2">
        <f t="shared" si="5"/>
        <v>0</v>
      </c>
      <c r="U16" s="2">
        <f>IF(T16=0,0,(D16*E16)-(SUM(L16:T16)))</f>
        <v>0</v>
      </c>
      <c r="V16" s="1" t="str">
        <f>IF(SUM(L16:U16)=D16*E16,"OK","PROBLEME")</f>
        <v>OK</v>
      </c>
    </row>
    <row r="17" spans="2:25">
      <c r="B17" s="64" t="s">
        <v>67</v>
      </c>
      <c r="C17" s="56">
        <v>2023</v>
      </c>
      <c r="D17" s="57">
        <v>3800</v>
      </c>
      <c r="E17" s="58">
        <v>1</v>
      </c>
      <c r="F17" s="59" t="s">
        <v>161</v>
      </c>
      <c r="G17" s="60"/>
      <c r="H17" s="60"/>
      <c r="I17" s="60"/>
      <c r="J17" s="61"/>
      <c r="K17" s="62">
        <v>5</v>
      </c>
      <c r="L17" s="2">
        <f t="shared" si="2"/>
        <v>0</v>
      </c>
      <c r="M17" s="2">
        <f t="shared" si="6"/>
        <v>760</v>
      </c>
      <c r="N17" s="2">
        <f t="shared" si="5"/>
        <v>760</v>
      </c>
      <c r="O17" s="2">
        <f t="shared" si="5"/>
        <v>760</v>
      </c>
      <c r="P17" s="2">
        <f t="shared" si="5"/>
        <v>760</v>
      </c>
      <c r="Q17" s="2">
        <f t="shared" si="5"/>
        <v>760</v>
      </c>
      <c r="R17" s="2">
        <f t="shared" si="5"/>
        <v>0</v>
      </c>
      <c r="S17" s="2">
        <f t="shared" si="5"/>
        <v>0</v>
      </c>
      <c r="T17" s="2">
        <f t="shared" si="5"/>
        <v>0</v>
      </c>
      <c r="U17" s="2">
        <f t="shared" ref="U17:U41" si="7">IF(T17=0,0,(D17*E17)-(SUM(L17:T17)))</f>
        <v>0</v>
      </c>
      <c r="V17" s="1" t="str">
        <f t="shared" si="4"/>
        <v>OK</v>
      </c>
    </row>
    <row r="18" spans="2:25">
      <c r="B18" s="64" t="s">
        <v>67</v>
      </c>
      <c r="C18" s="56">
        <v>2023</v>
      </c>
      <c r="D18" s="57">
        <v>2100</v>
      </c>
      <c r="E18" s="58">
        <v>1</v>
      </c>
      <c r="F18" s="59" t="s">
        <v>159</v>
      </c>
      <c r="G18" s="60"/>
      <c r="H18" s="60"/>
      <c r="I18" s="60"/>
      <c r="J18" s="61"/>
      <c r="K18" s="62">
        <v>5</v>
      </c>
      <c r="L18" s="2">
        <f t="shared" si="2"/>
        <v>0</v>
      </c>
      <c r="M18" s="2">
        <f t="shared" si="6"/>
        <v>420</v>
      </c>
      <c r="N18" s="2">
        <f t="shared" si="5"/>
        <v>420</v>
      </c>
      <c r="O18" s="2">
        <f t="shared" si="5"/>
        <v>420</v>
      </c>
      <c r="P18" s="2">
        <f t="shared" si="5"/>
        <v>420</v>
      </c>
      <c r="Q18" s="2">
        <f t="shared" si="5"/>
        <v>420</v>
      </c>
      <c r="R18" s="2">
        <f t="shared" si="5"/>
        <v>0</v>
      </c>
      <c r="S18" s="2">
        <f t="shared" si="5"/>
        <v>0</v>
      </c>
      <c r="T18" s="2">
        <f t="shared" si="5"/>
        <v>0</v>
      </c>
      <c r="U18" s="2">
        <f t="shared" si="7"/>
        <v>0</v>
      </c>
      <c r="V18" s="1" t="str">
        <f t="shared" si="4"/>
        <v>OK</v>
      </c>
    </row>
    <row r="19" spans="2:25">
      <c r="B19" s="64" t="s">
        <v>67</v>
      </c>
      <c r="C19" s="56">
        <v>2020</v>
      </c>
      <c r="D19" s="57">
        <v>11300</v>
      </c>
      <c r="E19" s="58">
        <v>1</v>
      </c>
      <c r="F19" s="59" t="s">
        <v>162</v>
      </c>
      <c r="G19" s="60"/>
      <c r="H19" s="60"/>
      <c r="I19" s="60"/>
      <c r="J19" s="61"/>
      <c r="K19" s="62">
        <v>5</v>
      </c>
      <c r="L19" s="2">
        <f t="shared" si="2"/>
        <v>6780</v>
      </c>
      <c r="M19" s="2">
        <f t="shared" si="6"/>
        <v>2260</v>
      </c>
      <c r="N19" s="2">
        <f t="shared" si="5"/>
        <v>2260</v>
      </c>
      <c r="O19" s="2">
        <f t="shared" si="5"/>
        <v>0</v>
      </c>
      <c r="P19" s="2">
        <f t="shared" si="5"/>
        <v>0</v>
      </c>
      <c r="Q19" s="2">
        <f t="shared" si="5"/>
        <v>0</v>
      </c>
      <c r="R19" s="2">
        <f t="shared" si="5"/>
        <v>0</v>
      </c>
      <c r="S19" s="2">
        <f t="shared" si="5"/>
        <v>0</v>
      </c>
      <c r="T19" s="2">
        <f t="shared" si="5"/>
        <v>0</v>
      </c>
      <c r="U19" s="2">
        <f t="shared" si="7"/>
        <v>0</v>
      </c>
      <c r="V19" s="1" t="str">
        <f t="shared" si="4"/>
        <v>OK</v>
      </c>
    </row>
    <row r="20" spans="2:25">
      <c r="B20" s="64" t="s">
        <v>67</v>
      </c>
      <c r="C20" s="56">
        <v>2021</v>
      </c>
      <c r="D20" s="57">
        <v>0</v>
      </c>
      <c r="E20" s="58">
        <v>1</v>
      </c>
      <c r="F20" s="59" t="s">
        <v>163</v>
      </c>
      <c r="G20" s="60"/>
      <c r="H20" s="60"/>
      <c r="I20" s="60"/>
      <c r="J20" s="61"/>
      <c r="K20" s="62">
        <v>5</v>
      </c>
      <c r="L20" s="2">
        <f t="shared" si="2"/>
        <v>0</v>
      </c>
      <c r="M20" s="2">
        <f t="shared" si="6"/>
        <v>0</v>
      </c>
      <c r="N20" s="2">
        <f t="shared" si="5"/>
        <v>0</v>
      </c>
      <c r="O20" s="2">
        <f t="shared" si="5"/>
        <v>0</v>
      </c>
      <c r="P20" s="2">
        <f t="shared" si="5"/>
        <v>0</v>
      </c>
      <c r="Q20" s="2">
        <f t="shared" si="5"/>
        <v>0</v>
      </c>
      <c r="R20" s="2">
        <f t="shared" si="5"/>
        <v>0</v>
      </c>
      <c r="S20" s="2">
        <f t="shared" si="5"/>
        <v>0</v>
      </c>
      <c r="T20" s="2">
        <f t="shared" si="5"/>
        <v>0</v>
      </c>
      <c r="U20" s="2">
        <f t="shared" si="7"/>
        <v>0</v>
      </c>
      <c r="V20" s="1" t="str">
        <f t="shared" si="4"/>
        <v>OK</v>
      </c>
    </row>
    <row r="21" spans="2:25">
      <c r="B21" s="64" t="s">
        <v>67</v>
      </c>
      <c r="C21" s="56">
        <v>2021</v>
      </c>
      <c r="D21" s="57">
        <v>0</v>
      </c>
      <c r="E21" s="58">
        <v>1</v>
      </c>
      <c r="F21" s="59"/>
      <c r="G21" s="60"/>
      <c r="H21" s="60"/>
      <c r="I21" s="60"/>
      <c r="J21" s="61"/>
      <c r="K21" s="62">
        <v>5</v>
      </c>
      <c r="L21" s="2">
        <f t="shared" si="2"/>
        <v>0</v>
      </c>
      <c r="M21" s="2">
        <f t="shared" si="6"/>
        <v>0</v>
      </c>
      <c r="N21" s="2">
        <f t="shared" si="5"/>
        <v>0</v>
      </c>
      <c r="O21" s="2">
        <f t="shared" si="5"/>
        <v>0</v>
      </c>
      <c r="P21" s="2">
        <f t="shared" si="5"/>
        <v>0</v>
      </c>
      <c r="Q21" s="2">
        <f t="shared" si="5"/>
        <v>0</v>
      </c>
      <c r="R21" s="2">
        <f t="shared" si="5"/>
        <v>0</v>
      </c>
      <c r="S21" s="2">
        <f t="shared" si="5"/>
        <v>0</v>
      </c>
      <c r="T21" s="2">
        <f t="shared" si="5"/>
        <v>0</v>
      </c>
      <c r="U21" s="2">
        <f t="shared" si="7"/>
        <v>0</v>
      </c>
      <c r="V21" s="1" t="str">
        <f t="shared" si="4"/>
        <v>OK</v>
      </c>
    </row>
    <row r="22" spans="2:25">
      <c r="B22" s="64" t="s">
        <v>67</v>
      </c>
      <c r="C22" s="56">
        <v>2023</v>
      </c>
      <c r="D22" s="57">
        <v>5500</v>
      </c>
      <c r="E22" s="58">
        <v>1</v>
      </c>
      <c r="F22" s="59" t="s">
        <v>166</v>
      </c>
      <c r="G22" s="60"/>
      <c r="H22" s="60"/>
      <c r="I22" s="60"/>
      <c r="J22" s="61"/>
      <c r="K22" s="62">
        <v>10</v>
      </c>
      <c r="L22" s="2">
        <f t="shared" si="2"/>
        <v>0</v>
      </c>
      <c r="M22" s="2">
        <f t="shared" si="6"/>
        <v>550</v>
      </c>
      <c r="N22" s="2">
        <f t="shared" si="5"/>
        <v>550</v>
      </c>
      <c r="O22" s="2">
        <f t="shared" si="5"/>
        <v>550</v>
      </c>
      <c r="P22" s="2">
        <f t="shared" si="5"/>
        <v>550</v>
      </c>
      <c r="Q22" s="2">
        <f t="shared" si="5"/>
        <v>550</v>
      </c>
      <c r="R22" s="2">
        <f t="shared" si="5"/>
        <v>550</v>
      </c>
      <c r="S22" s="2">
        <f t="shared" si="5"/>
        <v>550</v>
      </c>
      <c r="T22" s="2">
        <f t="shared" si="5"/>
        <v>550</v>
      </c>
      <c r="U22" s="2">
        <f t="shared" si="7"/>
        <v>1100</v>
      </c>
      <c r="V22" s="1" t="str">
        <f t="shared" si="4"/>
        <v>OK</v>
      </c>
    </row>
    <row r="23" spans="2:25">
      <c r="B23" s="64" t="s">
        <v>67</v>
      </c>
      <c r="C23" s="56">
        <v>2023</v>
      </c>
      <c r="D23" s="57">
        <v>15000</v>
      </c>
      <c r="E23" s="58">
        <v>1</v>
      </c>
      <c r="F23" s="59" t="s">
        <v>73</v>
      </c>
      <c r="G23" s="60"/>
      <c r="H23" s="60"/>
      <c r="I23" s="60"/>
      <c r="J23" s="61"/>
      <c r="K23" s="62">
        <v>5</v>
      </c>
      <c r="L23" s="2">
        <f t="shared" si="2"/>
        <v>0</v>
      </c>
      <c r="M23" s="2">
        <f t="shared" si="6"/>
        <v>3000</v>
      </c>
      <c r="N23" s="2">
        <f t="shared" si="6"/>
        <v>3000</v>
      </c>
      <c r="O23" s="2">
        <f t="shared" si="6"/>
        <v>3000</v>
      </c>
      <c r="P23" s="2">
        <f t="shared" si="6"/>
        <v>3000</v>
      </c>
      <c r="Q23" s="2">
        <f t="shared" si="6"/>
        <v>3000</v>
      </c>
      <c r="R23" s="2">
        <f t="shared" si="6"/>
        <v>0</v>
      </c>
      <c r="S23" s="2">
        <f t="shared" si="6"/>
        <v>0</v>
      </c>
      <c r="T23" s="2">
        <f t="shared" si="6"/>
        <v>0</v>
      </c>
      <c r="U23" s="2">
        <f t="shared" si="7"/>
        <v>0</v>
      </c>
      <c r="V23" s="1" t="str">
        <f t="shared" si="4"/>
        <v>OK</v>
      </c>
    </row>
    <row r="24" spans="2:25" s="53" customFormat="1">
      <c r="B24" s="65" t="s">
        <v>68</v>
      </c>
      <c r="C24" s="56">
        <v>2025</v>
      </c>
      <c r="D24" s="57">
        <v>0</v>
      </c>
      <c r="E24" s="58">
        <v>1</v>
      </c>
      <c r="F24" s="59"/>
      <c r="G24" s="60"/>
      <c r="H24" s="60"/>
      <c r="I24" s="60"/>
      <c r="J24" s="61"/>
      <c r="K24" s="62">
        <v>5</v>
      </c>
      <c r="L24" s="2">
        <f t="shared" si="2"/>
        <v>0</v>
      </c>
      <c r="M24" s="2">
        <f t="shared" si="6"/>
        <v>0</v>
      </c>
      <c r="N24" s="2">
        <f t="shared" si="6"/>
        <v>0</v>
      </c>
      <c r="O24" s="2">
        <f t="shared" si="6"/>
        <v>0</v>
      </c>
      <c r="P24" s="2">
        <f t="shared" si="6"/>
        <v>0</v>
      </c>
      <c r="Q24" s="2">
        <f t="shared" si="6"/>
        <v>0</v>
      </c>
      <c r="R24" s="2">
        <f t="shared" si="6"/>
        <v>0</v>
      </c>
      <c r="S24" s="2">
        <f t="shared" si="6"/>
        <v>0</v>
      </c>
      <c r="T24" s="2">
        <f t="shared" si="6"/>
        <v>0</v>
      </c>
      <c r="U24" s="2">
        <f t="shared" si="7"/>
        <v>0</v>
      </c>
      <c r="V24" s="1" t="str">
        <f t="shared" si="4"/>
        <v>OK</v>
      </c>
      <c r="X24" s="49"/>
      <c r="Y24" s="49"/>
    </row>
    <row r="25" spans="2:25" s="53" customFormat="1">
      <c r="B25" s="65" t="s">
        <v>68</v>
      </c>
      <c r="C25" s="56">
        <v>2025</v>
      </c>
      <c r="D25" s="57">
        <v>0</v>
      </c>
      <c r="E25" s="58">
        <v>1</v>
      </c>
      <c r="F25" s="59"/>
      <c r="G25" s="60"/>
      <c r="H25" s="60"/>
      <c r="I25" s="60"/>
      <c r="J25" s="61"/>
      <c r="K25" s="62">
        <v>5</v>
      </c>
      <c r="L25" s="2">
        <f t="shared" si="2"/>
        <v>0</v>
      </c>
      <c r="M25" s="2">
        <f t="shared" si="6"/>
        <v>0</v>
      </c>
      <c r="N25" s="2">
        <f t="shared" si="6"/>
        <v>0</v>
      </c>
      <c r="O25" s="2">
        <f t="shared" si="6"/>
        <v>0</v>
      </c>
      <c r="P25" s="2">
        <f t="shared" si="6"/>
        <v>0</v>
      </c>
      <c r="Q25" s="2">
        <f t="shared" si="6"/>
        <v>0</v>
      </c>
      <c r="R25" s="2">
        <f t="shared" si="6"/>
        <v>0</v>
      </c>
      <c r="S25" s="2">
        <f t="shared" si="6"/>
        <v>0</v>
      </c>
      <c r="T25" s="2">
        <f t="shared" si="6"/>
        <v>0</v>
      </c>
      <c r="U25" s="2">
        <f t="shared" si="7"/>
        <v>0</v>
      </c>
      <c r="V25" s="1" t="str">
        <f t="shared" si="4"/>
        <v>OK</v>
      </c>
      <c r="X25" s="49"/>
      <c r="Y25" s="49"/>
    </row>
    <row r="26" spans="2:25" s="53" customFormat="1">
      <c r="B26" s="65" t="s">
        <v>68</v>
      </c>
      <c r="C26" s="56">
        <v>2025</v>
      </c>
      <c r="D26" s="57">
        <v>0</v>
      </c>
      <c r="E26" s="58">
        <v>1</v>
      </c>
      <c r="F26" s="59"/>
      <c r="G26" s="60"/>
      <c r="H26" s="60"/>
      <c r="I26" s="60"/>
      <c r="J26" s="61"/>
      <c r="K26" s="62">
        <v>5</v>
      </c>
      <c r="L26" s="2">
        <f t="shared" si="2"/>
        <v>0</v>
      </c>
      <c r="M26" s="2">
        <f t="shared" si="6"/>
        <v>0</v>
      </c>
      <c r="N26" s="2">
        <f t="shared" si="6"/>
        <v>0</v>
      </c>
      <c r="O26" s="2">
        <f t="shared" si="6"/>
        <v>0</v>
      </c>
      <c r="P26" s="2">
        <f t="shared" si="6"/>
        <v>0</v>
      </c>
      <c r="Q26" s="2">
        <f t="shared" si="6"/>
        <v>0</v>
      </c>
      <c r="R26" s="2">
        <f t="shared" si="6"/>
        <v>0</v>
      </c>
      <c r="S26" s="2">
        <f t="shared" si="6"/>
        <v>0</v>
      </c>
      <c r="T26" s="2">
        <f t="shared" si="6"/>
        <v>0</v>
      </c>
      <c r="U26" s="2">
        <f t="shared" si="7"/>
        <v>0</v>
      </c>
      <c r="V26" s="1" t="str">
        <f t="shared" si="4"/>
        <v>OK</v>
      </c>
      <c r="X26" s="49"/>
      <c r="Y26" s="49"/>
    </row>
    <row r="27" spans="2:25" s="53" customFormat="1">
      <c r="B27" s="65" t="s">
        <v>68</v>
      </c>
      <c r="C27" s="56">
        <v>2025</v>
      </c>
      <c r="D27" s="57">
        <v>0</v>
      </c>
      <c r="E27" s="58">
        <v>1</v>
      </c>
      <c r="F27" s="59"/>
      <c r="G27" s="60"/>
      <c r="H27" s="60"/>
      <c r="I27" s="60"/>
      <c r="J27" s="61"/>
      <c r="K27" s="62">
        <v>5</v>
      </c>
      <c r="L27" s="2">
        <f t="shared" si="2"/>
        <v>0</v>
      </c>
      <c r="M27" s="2">
        <f t="shared" si="6"/>
        <v>0</v>
      </c>
      <c r="N27" s="2">
        <f t="shared" si="6"/>
        <v>0</v>
      </c>
      <c r="O27" s="2">
        <f t="shared" si="6"/>
        <v>0</v>
      </c>
      <c r="P27" s="2">
        <f t="shared" si="6"/>
        <v>0</v>
      </c>
      <c r="Q27" s="2">
        <f t="shared" si="6"/>
        <v>0</v>
      </c>
      <c r="R27" s="2">
        <f t="shared" si="6"/>
        <v>0</v>
      </c>
      <c r="S27" s="2">
        <f t="shared" si="6"/>
        <v>0</v>
      </c>
      <c r="T27" s="2">
        <f t="shared" si="6"/>
        <v>0</v>
      </c>
      <c r="U27" s="2">
        <f t="shared" si="7"/>
        <v>0</v>
      </c>
      <c r="V27" s="1" t="str">
        <f t="shared" si="4"/>
        <v>OK</v>
      </c>
      <c r="X27" s="49"/>
      <c r="Y27" s="49"/>
    </row>
    <row r="28" spans="2:25" s="53" customFormat="1">
      <c r="B28" s="65" t="s">
        <v>68</v>
      </c>
      <c r="C28" s="56">
        <v>2025</v>
      </c>
      <c r="D28" s="57">
        <v>0</v>
      </c>
      <c r="E28" s="58">
        <v>1</v>
      </c>
      <c r="F28" s="59"/>
      <c r="G28" s="60"/>
      <c r="H28" s="60"/>
      <c r="I28" s="60"/>
      <c r="J28" s="61"/>
      <c r="K28" s="62">
        <v>5</v>
      </c>
      <c r="L28" s="2">
        <f t="shared" si="2"/>
        <v>0</v>
      </c>
      <c r="M28" s="2">
        <f t="shared" si="6"/>
        <v>0</v>
      </c>
      <c r="N28" s="2">
        <f t="shared" si="6"/>
        <v>0</v>
      </c>
      <c r="O28" s="2">
        <f t="shared" si="6"/>
        <v>0</v>
      </c>
      <c r="P28" s="2">
        <f t="shared" si="6"/>
        <v>0</v>
      </c>
      <c r="Q28" s="2">
        <f t="shared" si="6"/>
        <v>0</v>
      </c>
      <c r="R28" s="2">
        <f t="shared" si="6"/>
        <v>0</v>
      </c>
      <c r="S28" s="2">
        <f t="shared" si="6"/>
        <v>0</v>
      </c>
      <c r="T28" s="2">
        <f t="shared" si="6"/>
        <v>0</v>
      </c>
      <c r="U28" s="2">
        <f t="shared" si="7"/>
        <v>0</v>
      </c>
      <c r="V28" s="1" t="str">
        <f t="shared" si="4"/>
        <v>OK</v>
      </c>
      <c r="X28" s="49"/>
      <c r="Y28" s="49"/>
    </row>
    <row r="29" spans="2:25" s="53" customFormat="1">
      <c r="B29" s="65" t="s">
        <v>68</v>
      </c>
      <c r="C29" s="56">
        <v>2025</v>
      </c>
      <c r="D29" s="57">
        <v>0</v>
      </c>
      <c r="E29" s="58">
        <v>1</v>
      </c>
      <c r="F29" s="59"/>
      <c r="G29" s="60"/>
      <c r="H29" s="60"/>
      <c r="I29" s="60"/>
      <c r="J29" s="61"/>
      <c r="K29" s="62">
        <v>5</v>
      </c>
      <c r="L29" s="2">
        <f t="shared" si="2"/>
        <v>0</v>
      </c>
      <c r="M29" s="2">
        <f t="shared" si="6"/>
        <v>0</v>
      </c>
      <c r="N29" s="2">
        <f t="shared" si="6"/>
        <v>0</v>
      </c>
      <c r="O29" s="2">
        <f t="shared" si="6"/>
        <v>0</v>
      </c>
      <c r="P29" s="2">
        <f t="shared" si="6"/>
        <v>0</v>
      </c>
      <c r="Q29" s="2">
        <f t="shared" si="6"/>
        <v>0</v>
      </c>
      <c r="R29" s="2">
        <f t="shared" si="6"/>
        <v>0</v>
      </c>
      <c r="S29" s="2">
        <f t="shared" si="6"/>
        <v>0</v>
      </c>
      <c r="T29" s="2">
        <f t="shared" si="6"/>
        <v>0</v>
      </c>
      <c r="U29" s="2">
        <f t="shared" si="7"/>
        <v>0</v>
      </c>
      <c r="V29" s="1" t="str">
        <f t="shared" si="4"/>
        <v>OK</v>
      </c>
      <c r="X29" s="49"/>
      <c r="Y29" s="49"/>
    </row>
    <row r="30" spans="2:25" s="53" customFormat="1">
      <c r="B30" s="65" t="s">
        <v>68</v>
      </c>
      <c r="C30" s="56">
        <v>2025</v>
      </c>
      <c r="D30" s="57">
        <v>0</v>
      </c>
      <c r="E30" s="58">
        <v>1</v>
      </c>
      <c r="F30" s="59"/>
      <c r="G30" s="60"/>
      <c r="H30" s="60"/>
      <c r="I30" s="60"/>
      <c r="J30" s="61"/>
      <c r="K30" s="62">
        <v>5</v>
      </c>
      <c r="L30" s="2">
        <f t="shared" si="2"/>
        <v>0</v>
      </c>
      <c r="M30" s="2">
        <f t="shared" si="6"/>
        <v>0</v>
      </c>
      <c r="N30" s="2">
        <f t="shared" si="6"/>
        <v>0</v>
      </c>
      <c r="O30" s="2">
        <f t="shared" si="6"/>
        <v>0</v>
      </c>
      <c r="P30" s="2">
        <f t="shared" si="6"/>
        <v>0</v>
      </c>
      <c r="Q30" s="2">
        <f t="shared" si="6"/>
        <v>0</v>
      </c>
      <c r="R30" s="2">
        <f t="shared" si="6"/>
        <v>0</v>
      </c>
      <c r="S30" s="2">
        <f t="shared" si="6"/>
        <v>0</v>
      </c>
      <c r="T30" s="2">
        <f t="shared" si="6"/>
        <v>0</v>
      </c>
      <c r="U30" s="2">
        <f t="shared" si="7"/>
        <v>0</v>
      </c>
      <c r="V30" s="1" t="str">
        <f t="shared" si="4"/>
        <v>OK</v>
      </c>
      <c r="X30" s="49"/>
      <c r="Y30" s="49"/>
    </row>
    <row r="31" spans="2:25" s="53" customFormat="1">
      <c r="B31" s="65" t="s">
        <v>68</v>
      </c>
      <c r="C31" s="56">
        <v>2025</v>
      </c>
      <c r="D31" s="57">
        <v>0</v>
      </c>
      <c r="E31" s="58">
        <v>1</v>
      </c>
      <c r="F31" s="59"/>
      <c r="G31" s="60"/>
      <c r="H31" s="60"/>
      <c r="I31" s="60"/>
      <c r="J31" s="61"/>
      <c r="K31" s="62">
        <v>5</v>
      </c>
      <c r="L31" s="2">
        <f t="shared" si="2"/>
        <v>0</v>
      </c>
      <c r="M31" s="2">
        <f t="shared" si="6"/>
        <v>0</v>
      </c>
      <c r="N31" s="2">
        <f t="shared" si="6"/>
        <v>0</v>
      </c>
      <c r="O31" s="2">
        <f t="shared" si="6"/>
        <v>0</v>
      </c>
      <c r="P31" s="2">
        <f t="shared" si="6"/>
        <v>0</v>
      </c>
      <c r="Q31" s="2">
        <f t="shared" si="6"/>
        <v>0</v>
      </c>
      <c r="R31" s="2">
        <f t="shared" si="6"/>
        <v>0</v>
      </c>
      <c r="S31" s="2">
        <f t="shared" si="6"/>
        <v>0</v>
      </c>
      <c r="T31" s="2">
        <f t="shared" si="6"/>
        <v>0</v>
      </c>
      <c r="U31" s="2">
        <f t="shared" si="7"/>
        <v>0</v>
      </c>
      <c r="V31" s="1" t="str">
        <f t="shared" si="4"/>
        <v>OK</v>
      </c>
      <c r="X31" s="49"/>
      <c r="Y31" s="49"/>
    </row>
    <row r="32" spans="2:25" s="53" customFormat="1">
      <c r="B32" s="66" t="s">
        <v>69</v>
      </c>
      <c r="C32" s="56">
        <v>2025</v>
      </c>
      <c r="D32" s="57">
        <v>0</v>
      </c>
      <c r="E32" s="58">
        <v>1</v>
      </c>
      <c r="F32" s="59"/>
      <c r="G32" s="60"/>
      <c r="H32" s="60"/>
      <c r="I32" s="60"/>
      <c r="J32" s="61"/>
      <c r="K32" s="62">
        <v>3</v>
      </c>
      <c r="L32" s="2">
        <f t="shared" si="2"/>
        <v>0</v>
      </c>
      <c r="M32" s="2">
        <f t="shared" si="6"/>
        <v>0</v>
      </c>
      <c r="N32" s="2">
        <f t="shared" si="6"/>
        <v>0</v>
      </c>
      <c r="O32" s="2">
        <f t="shared" si="6"/>
        <v>0</v>
      </c>
      <c r="P32" s="2">
        <f t="shared" si="6"/>
        <v>0</v>
      </c>
      <c r="Q32" s="2">
        <f t="shared" si="6"/>
        <v>0</v>
      </c>
      <c r="R32" s="2">
        <f t="shared" si="6"/>
        <v>0</v>
      </c>
      <c r="S32" s="2">
        <f t="shared" si="6"/>
        <v>0</v>
      </c>
      <c r="T32" s="2">
        <f t="shared" si="6"/>
        <v>0</v>
      </c>
      <c r="U32" s="2">
        <f t="shared" si="7"/>
        <v>0</v>
      </c>
      <c r="V32" s="1" t="str">
        <f t="shared" si="4"/>
        <v>OK</v>
      </c>
      <c r="X32" s="49"/>
      <c r="Y32" s="49"/>
    </row>
    <row r="33" spans="2:25" s="53" customFormat="1">
      <c r="B33" s="66" t="s">
        <v>69</v>
      </c>
      <c r="C33" s="56">
        <v>2025</v>
      </c>
      <c r="D33" s="57">
        <v>0</v>
      </c>
      <c r="E33" s="58">
        <v>1</v>
      </c>
      <c r="F33" s="59"/>
      <c r="G33" s="60"/>
      <c r="H33" s="60"/>
      <c r="I33" s="60"/>
      <c r="J33" s="61"/>
      <c r="K33" s="62">
        <v>3</v>
      </c>
      <c r="L33" s="2">
        <f t="shared" si="2"/>
        <v>0</v>
      </c>
      <c r="M33" s="2">
        <f t="shared" si="6"/>
        <v>0</v>
      </c>
      <c r="N33" s="2">
        <f t="shared" si="6"/>
        <v>0</v>
      </c>
      <c r="O33" s="2">
        <f t="shared" si="6"/>
        <v>0</v>
      </c>
      <c r="P33" s="2">
        <f t="shared" si="6"/>
        <v>0</v>
      </c>
      <c r="Q33" s="2">
        <f t="shared" si="6"/>
        <v>0</v>
      </c>
      <c r="R33" s="2">
        <f t="shared" si="6"/>
        <v>0</v>
      </c>
      <c r="S33" s="2">
        <f t="shared" si="6"/>
        <v>0</v>
      </c>
      <c r="T33" s="2">
        <f t="shared" si="6"/>
        <v>0</v>
      </c>
      <c r="U33" s="2">
        <f t="shared" si="7"/>
        <v>0</v>
      </c>
      <c r="V33" s="1" t="str">
        <f t="shared" si="4"/>
        <v>OK</v>
      </c>
      <c r="X33" s="49"/>
      <c r="Y33" s="49"/>
    </row>
    <row r="34" spans="2:25" s="53" customFormat="1">
      <c r="B34" s="66" t="s">
        <v>69</v>
      </c>
      <c r="C34" s="56">
        <v>2025</v>
      </c>
      <c r="D34" s="57">
        <v>0</v>
      </c>
      <c r="E34" s="58">
        <v>1</v>
      </c>
      <c r="F34" s="59"/>
      <c r="G34" s="60"/>
      <c r="H34" s="60"/>
      <c r="I34" s="60"/>
      <c r="J34" s="61"/>
      <c r="K34" s="62">
        <v>3</v>
      </c>
      <c r="L34" s="2">
        <f t="shared" si="2"/>
        <v>0</v>
      </c>
      <c r="M34" s="2">
        <f t="shared" si="6"/>
        <v>0</v>
      </c>
      <c r="N34" s="2">
        <f t="shared" si="6"/>
        <v>0</v>
      </c>
      <c r="O34" s="2">
        <f t="shared" si="6"/>
        <v>0</v>
      </c>
      <c r="P34" s="2">
        <f t="shared" si="6"/>
        <v>0</v>
      </c>
      <c r="Q34" s="2">
        <f t="shared" si="6"/>
        <v>0</v>
      </c>
      <c r="R34" s="2">
        <f t="shared" si="6"/>
        <v>0</v>
      </c>
      <c r="S34" s="2">
        <f t="shared" si="6"/>
        <v>0</v>
      </c>
      <c r="T34" s="2">
        <f t="shared" si="6"/>
        <v>0</v>
      </c>
      <c r="U34" s="2">
        <f t="shared" si="7"/>
        <v>0</v>
      </c>
      <c r="V34" s="1" t="str">
        <f t="shared" si="4"/>
        <v>OK</v>
      </c>
      <c r="X34" s="49"/>
      <c r="Y34" s="49"/>
    </row>
    <row r="35" spans="2:25" s="53" customFormat="1">
      <c r="B35" s="66" t="s">
        <v>69</v>
      </c>
      <c r="C35" s="56">
        <v>2025</v>
      </c>
      <c r="D35" s="57">
        <v>0</v>
      </c>
      <c r="E35" s="58">
        <v>1</v>
      </c>
      <c r="F35" s="59" t="s">
        <v>261</v>
      </c>
      <c r="G35" s="60"/>
      <c r="H35" s="60"/>
      <c r="I35" s="60"/>
      <c r="J35" s="61"/>
      <c r="K35" s="62">
        <v>3</v>
      </c>
      <c r="L35" s="2">
        <f t="shared" si="2"/>
        <v>0</v>
      </c>
      <c r="M35" s="2">
        <f t="shared" si="6"/>
        <v>0</v>
      </c>
      <c r="N35" s="2">
        <f t="shared" si="6"/>
        <v>0</v>
      </c>
      <c r="O35" s="2">
        <f t="shared" si="6"/>
        <v>0</v>
      </c>
      <c r="P35" s="2">
        <f t="shared" si="6"/>
        <v>0</v>
      </c>
      <c r="Q35" s="2">
        <f t="shared" si="6"/>
        <v>0</v>
      </c>
      <c r="R35" s="2">
        <f t="shared" si="6"/>
        <v>0</v>
      </c>
      <c r="S35" s="2">
        <f t="shared" si="6"/>
        <v>0</v>
      </c>
      <c r="T35" s="2">
        <f t="shared" si="6"/>
        <v>0</v>
      </c>
      <c r="U35" s="2">
        <f t="shared" si="7"/>
        <v>0</v>
      </c>
      <c r="V35" s="1" t="str">
        <f t="shared" si="4"/>
        <v>OK</v>
      </c>
      <c r="X35" s="49"/>
      <c r="Y35" s="49"/>
    </row>
    <row r="36" spans="2:25" s="53" customFormat="1">
      <c r="B36" s="66" t="s">
        <v>69</v>
      </c>
      <c r="C36" s="56">
        <v>2025</v>
      </c>
      <c r="D36" s="57">
        <v>0</v>
      </c>
      <c r="E36" s="58">
        <v>1</v>
      </c>
      <c r="F36" s="59"/>
      <c r="G36" s="60"/>
      <c r="H36" s="60"/>
      <c r="I36" s="60"/>
      <c r="J36" s="61"/>
      <c r="K36" s="62">
        <v>3</v>
      </c>
      <c r="L36" s="2">
        <f t="shared" si="2"/>
        <v>0</v>
      </c>
      <c r="M36" s="2">
        <f t="shared" si="6"/>
        <v>0</v>
      </c>
      <c r="N36" s="2">
        <f t="shared" si="6"/>
        <v>0</v>
      </c>
      <c r="O36" s="2">
        <f t="shared" si="6"/>
        <v>0</v>
      </c>
      <c r="P36" s="2">
        <f t="shared" si="6"/>
        <v>0</v>
      </c>
      <c r="Q36" s="2">
        <f t="shared" si="6"/>
        <v>0</v>
      </c>
      <c r="R36" s="2">
        <f t="shared" si="6"/>
        <v>0</v>
      </c>
      <c r="S36" s="2">
        <f t="shared" si="6"/>
        <v>0</v>
      </c>
      <c r="T36" s="2">
        <f t="shared" si="6"/>
        <v>0</v>
      </c>
      <c r="U36" s="2">
        <f t="shared" si="7"/>
        <v>0</v>
      </c>
      <c r="V36" s="1" t="str">
        <f t="shared" si="4"/>
        <v>OK</v>
      </c>
      <c r="X36" s="49"/>
      <c r="Y36" s="49"/>
    </row>
    <row r="37" spans="2:25" s="53" customFormat="1">
      <c r="B37" s="66" t="s">
        <v>69</v>
      </c>
      <c r="C37" s="56">
        <v>2025</v>
      </c>
      <c r="D37" s="57">
        <v>0</v>
      </c>
      <c r="E37" s="58">
        <v>1</v>
      </c>
      <c r="F37" s="59"/>
      <c r="G37" s="60"/>
      <c r="H37" s="60"/>
      <c r="I37" s="60"/>
      <c r="J37" s="61"/>
      <c r="K37" s="62">
        <v>3</v>
      </c>
      <c r="L37" s="2">
        <f t="shared" si="2"/>
        <v>0</v>
      </c>
      <c r="M37" s="2">
        <f t="shared" si="6"/>
        <v>0</v>
      </c>
      <c r="N37" s="2">
        <f t="shared" si="6"/>
        <v>0</v>
      </c>
      <c r="O37" s="2">
        <f t="shared" si="6"/>
        <v>0</v>
      </c>
      <c r="P37" s="2">
        <f t="shared" si="6"/>
        <v>0</v>
      </c>
      <c r="Q37" s="2">
        <f t="shared" si="6"/>
        <v>0</v>
      </c>
      <c r="R37" s="2">
        <f t="shared" si="6"/>
        <v>0</v>
      </c>
      <c r="S37" s="2">
        <f t="shared" si="6"/>
        <v>0</v>
      </c>
      <c r="T37" s="2">
        <f t="shared" si="6"/>
        <v>0</v>
      </c>
      <c r="U37" s="2">
        <f t="shared" si="7"/>
        <v>0</v>
      </c>
      <c r="V37" s="1" t="str">
        <f t="shared" si="4"/>
        <v>OK</v>
      </c>
      <c r="X37" s="49"/>
      <c r="Y37" s="49"/>
    </row>
    <row r="38" spans="2:25" s="53" customFormat="1">
      <c r="B38" s="66" t="s">
        <v>69</v>
      </c>
      <c r="C38" s="56">
        <v>2025</v>
      </c>
      <c r="D38" s="57">
        <v>0</v>
      </c>
      <c r="E38" s="58">
        <v>1</v>
      </c>
      <c r="F38" s="59"/>
      <c r="G38" s="60"/>
      <c r="H38" s="60"/>
      <c r="I38" s="60"/>
      <c r="J38" s="61"/>
      <c r="K38" s="62">
        <v>3</v>
      </c>
      <c r="L38" s="2">
        <f t="shared" si="2"/>
        <v>0</v>
      </c>
      <c r="M38" s="2">
        <f t="shared" si="6"/>
        <v>0</v>
      </c>
      <c r="N38" s="2">
        <f t="shared" si="6"/>
        <v>0</v>
      </c>
      <c r="O38" s="2">
        <f t="shared" si="6"/>
        <v>0</v>
      </c>
      <c r="P38" s="2">
        <f t="shared" si="6"/>
        <v>0</v>
      </c>
      <c r="Q38" s="2">
        <f t="shared" si="6"/>
        <v>0</v>
      </c>
      <c r="R38" s="2">
        <f t="shared" si="6"/>
        <v>0</v>
      </c>
      <c r="S38" s="2">
        <f t="shared" si="6"/>
        <v>0</v>
      </c>
      <c r="T38" s="2">
        <f t="shared" si="6"/>
        <v>0</v>
      </c>
      <c r="U38" s="2">
        <f t="shared" si="7"/>
        <v>0</v>
      </c>
      <c r="V38" s="1" t="str">
        <f t="shared" si="4"/>
        <v>OK</v>
      </c>
      <c r="X38" s="49"/>
      <c r="Y38" s="49"/>
    </row>
    <row r="39" spans="2:25" s="53" customFormat="1">
      <c r="B39" s="66" t="s">
        <v>69</v>
      </c>
      <c r="C39" s="56">
        <v>2025</v>
      </c>
      <c r="D39" s="57">
        <v>0</v>
      </c>
      <c r="E39" s="58">
        <v>1</v>
      </c>
      <c r="F39" s="59"/>
      <c r="G39" s="60"/>
      <c r="H39" s="60"/>
      <c r="I39" s="60"/>
      <c r="J39" s="61"/>
      <c r="K39" s="62">
        <v>3</v>
      </c>
      <c r="L39" s="2">
        <f t="shared" si="2"/>
        <v>0</v>
      </c>
      <c r="M39" s="2">
        <f t="shared" si="6"/>
        <v>0</v>
      </c>
      <c r="N39" s="2">
        <f t="shared" si="6"/>
        <v>0</v>
      </c>
      <c r="O39" s="2">
        <f t="shared" si="6"/>
        <v>0</v>
      </c>
      <c r="P39" s="2">
        <f t="shared" si="6"/>
        <v>0</v>
      </c>
      <c r="Q39" s="2">
        <f t="shared" si="6"/>
        <v>0</v>
      </c>
      <c r="R39" s="2">
        <f t="shared" si="6"/>
        <v>0</v>
      </c>
      <c r="S39" s="2">
        <f t="shared" si="6"/>
        <v>0</v>
      </c>
      <c r="T39" s="2">
        <f t="shared" si="6"/>
        <v>0</v>
      </c>
      <c r="U39" s="2">
        <f t="shared" si="7"/>
        <v>0</v>
      </c>
      <c r="V39" s="1" t="str">
        <f t="shared" si="4"/>
        <v>OK</v>
      </c>
      <c r="X39" s="49"/>
      <c r="Y39" s="49"/>
    </row>
    <row r="40" spans="2:25" s="53" customFormat="1">
      <c r="B40" s="65" t="s">
        <v>70</v>
      </c>
      <c r="C40" s="56">
        <v>2024</v>
      </c>
      <c r="D40" s="57">
        <v>15000</v>
      </c>
      <c r="E40" s="58">
        <v>1</v>
      </c>
      <c r="F40" s="59" t="s">
        <v>74</v>
      </c>
      <c r="G40" s="60"/>
      <c r="H40" s="60"/>
      <c r="I40" s="60"/>
      <c r="J40" s="61"/>
      <c r="K40" s="62">
        <v>5</v>
      </c>
      <c r="L40" s="2">
        <f t="shared" si="2"/>
        <v>0</v>
      </c>
      <c r="M40" s="2">
        <f t="shared" si="6"/>
        <v>0</v>
      </c>
      <c r="N40" s="2">
        <f t="shared" si="6"/>
        <v>3000</v>
      </c>
      <c r="O40" s="2">
        <f t="shared" si="6"/>
        <v>3000</v>
      </c>
      <c r="P40" s="2">
        <f t="shared" si="6"/>
        <v>3000</v>
      </c>
      <c r="Q40" s="2">
        <f t="shared" si="6"/>
        <v>3000</v>
      </c>
      <c r="R40" s="2">
        <f t="shared" si="6"/>
        <v>3000</v>
      </c>
      <c r="S40" s="2">
        <f t="shared" si="6"/>
        <v>0</v>
      </c>
      <c r="T40" s="2">
        <f t="shared" si="6"/>
        <v>0</v>
      </c>
      <c r="U40" s="2">
        <f t="shared" si="7"/>
        <v>0</v>
      </c>
      <c r="V40" s="1" t="str">
        <f t="shared" si="4"/>
        <v>OK</v>
      </c>
      <c r="X40" s="49"/>
      <c r="Y40" s="49"/>
    </row>
    <row r="41" spans="2:25" s="53" customFormat="1" ht="14.4" thickBot="1">
      <c r="B41" s="67" t="s">
        <v>70</v>
      </c>
      <c r="C41" s="68">
        <v>2025</v>
      </c>
      <c r="D41" s="69">
        <v>0</v>
      </c>
      <c r="E41" s="70">
        <v>1</v>
      </c>
      <c r="F41" s="71" t="s">
        <v>61</v>
      </c>
      <c r="G41" s="72"/>
      <c r="H41" s="72"/>
      <c r="I41" s="72"/>
      <c r="J41" s="73"/>
      <c r="K41" s="74">
        <v>3</v>
      </c>
      <c r="L41" s="2">
        <f t="shared" si="2"/>
        <v>0</v>
      </c>
      <c r="M41" s="3">
        <f t="shared" si="6"/>
        <v>0</v>
      </c>
      <c r="N41" s="3">
        <f t="shared" si="6"/>
        <v>0</v>
      </c>
      <c r="O41" s="3">
        <f t="shared" si="6"/>
        <v>0</v>
      </c>
      <c r="P41" s="3">
        <f t="shared" si="6"/>
        <v>0</v>
      </c>
      <c r="Q41" s="3">
        <f t="shared" si="6"/>
        <v>0</v>
      </c>
      <c r="R41" s="3">
        <f t="shared" si="6"/>
        <v>0</v>
      </c>
      <c r="S41" s="3">
        <f t="shared" si="6"/>
        <v>0</v>
      </c>
      <c r="T41" s="3">
        <f t="shared" si="6"/>
        <v>0</v>
      </c>
      <c r="U41" s="3">
        <f t="shared" si="7"/>
        <v>0</v>
      </c>
      <c r="V41" s="1" t="str">
        <f t="shared" si="4"/>
        <v>OK</v>
      </c>
      <c r="X41" s="49"/>
      <c r="Y41" s="49"/>
    </row>
    <row r="42" spans="2:25" s="54" customFormat="1" ht="14.4" thickBot="1">
      <c r="B42" s="479" t="s">
        <v>260</v>
      </c>
      <c r="C42" s="480"/>
      <c r="D42" s="481"/>
      <c r="E42" s="482">
        <f>SUMPRODUCT(D7:D41,E7:E41)</f>
        <v>90700</v>
      </c>
      <c r="F42" s="480"/>
      <c r="G42" s="480"/>
      <c r="H42" s="480"/>
      <c r="I42" s="480"/>
      <c r="J42" s="480"/>
      <c r="K42" s="480"/>
      <c r="L42" s="483">
        <f t="shared" ref="L42:U42" si="8">SUM(L7:L41)</f>
        <v>30580</v>
      </c>
      <c r="M42" s="483">
        <f t="shared" si="8"/>
        <v>11590</v>
      </c>
      <c r="N42" s="483">
        <f t="shared" si="8"/>
        <v>12390</v>
      </c>
      <c r="O42" s="483">
        <f t="shared" si="8"/>
        <v>10130</v>
      </c>
      <c r="P42" s="483">
        <f t="shared" si="8"/>
        <v>10130</v>
      </c>
      <c r="Q42" s="483">
        <f t="shared" si="8"/>
        <v>10130</v>
      </c>
      <c r="R42" s="483">
        <f t="shared" si="8"/>
        <v>3550</v>
      </c>
      <c r="S42" s="483">
        <f t="shared" si="8"/>
        <v>550</v>
      </c>
      <c r="T42" s="484">
        <f t="shared" si="8"/>
        <v>550</v>
      </c>
      <c r="U42" s="484">
        <f t="shared" si="8"/>
        <v>1100</v>
      </c>
      <c r="V42" s="1" t="str">
        <f>IF(SUM(L42:U42)=E42,"OK","PROBLEME")</f>
        <v>OK</v>
      </c>
      <c r="W42" s="53"/>
      <c r="X42" s="49"/>
      <c r="Y42" s="49"/>
    </row>
    <row r="43" spans="2:25" ht="14.4" thickBot="1">
      <c r="B43" s="485" t="s">
        <v>81</v>
      </c>
      <c r="C43" s="480"/>
      <c r="D43" s="486"/>
      <c r="E43" s="487">
        <f>E42-SUM(L42:O42)</f>
        <v>26010</v>
      </c>
      <c r="F43" s="488"/>
      <c r="G43" s="488"/>
      <c r="H43" s="488"/>
      <c r="I43" s="488"/>
      <c r="J43" s="488"/>
      <c r="K43" s="489"/>
      <c r="L43" s="490"/>
      <c r="M43" s="491"/>
      <c r="N43" s="490"/>
      <c r="O43" s="490"/>
      <c r="P43" s="490"/>
      <c r="Q43" s="490"/>
      <c r="R43" s="490"/>
      <c r="S43" s="490"/>
      <c r="T43" s="490"/>
      <c r="U43" s="490"/>
    </row>
    <row r="47" spans="2:25" ht="14.4" thickBot="1"/>
    <row r="48" spans="2:25" ht="25.8" thickBot="1">
      <c r="B48" s="77" t="s">
        <v>87</v>
      </c>
      <c r="C48" s="78" t="s">
        <v>88</v>
      </c>
    </row>
    <row r="49" spans="2:3">
      <c r="B49" s="79" t="s">
        <v>89</v>
      </c>
      <c r="C49" s="80">
        <v>5</v>
      </c>
    </row>
    <row r="50" spans="2:3">
      <c r="B50" s="81" t="s">
        <v>90</v>
      </c>
      <c r="C50" s="82">
        <v>30</v>
      </c>
    </row>
    <row r="51" spans="2:3">
      <c r="B51" s="81" t="s">
        <v>91</v>
      </c>
      <c r="C51" s="82">
        <v>5</v>
      </c>
    </row>
    <row r="52" spans="2:3">
      <c r="B52" s="81" t="s">
        <v>92</v>
      </c>
      <c r="C52" s="82">
        <v>5</v>
      </c>
    </row>
    <row r="53" spans="2:3">
      <c r="B53" s="81" t="s">
        <v>93</v>
      </c>
      <c r="C53" s="82">
        <v>3</v>
      </c>
    </row>
    <row r="54" spans="2:3">
      <c r="B54" s="81" t="s">
        <v>94</v>
      </c>
      <c r="C54" s="82">
        <v>3</v>
      </c>
    </row>
    <row r="55" spans="2:3" ht="14.4" thickBot="1">
      <c r="B55" s="83" t="s">
        <v>95</v>
      </c>
      <c r="C55" s="84">
        <v>5</v>
      </c>
    </row>
  </sheetData>
  <sheetProtection algorithmName="SHA-512" hashValue="jvVbmIFYpOURIpfOtRxQc3AIRzZPvCgWeqj+YqF2EKvyY/yKNYbkMjWGXCXQ4y0I7UEamjyGoA6dkMprr+k1GA==" saltValue="EUa9ouvssBCp/8zmhm3YyQ==" spinCount="100000" sheet="1" objects="1" scenarios="1" formatCells="0" formatColumns="0" formatRows="0" insertRows="0" insertHyperlinks="0" sort="0" autoFilter="0" pivotTables="0"/>
  <protectedRanges>
    <protectedRange sqref="B7:K41" name="Plage1"/>
  </protectedRanges>
  <dataConsolidate/>
  <mergeCells count="2">
    <mergeCell ref="F6:J6"/>
    <mergeCell ref="B2:K3"/>
  </mergeCells>
  <phoneticPr fontId="25" type="noConversion"/>
  <dataValidations count="1">
    <dataValidation type="list" allowBlank="1" showInputMessage="1" showErrorMessage="1" sqref="K49:L1048576 K7:K41" xr:uid="{E754CD44-B905-49A8-AE44-6E8D0E60552C}">
      <formula1>"0,1,2,3,5,10,30"</formula1>
    </dataValidation>
  </dataValidations>
  <pageMargins left="0.23622047244094491" right="0.23622047244094491" top="0.74803149606299213" bottom="0.74803149606299213" header="0.31496062992125984" footer="0.31496062992125984"/>
  <pageSetup paperSize="9" scale="27" orientation="portrait" r:id="rId1"/>
  <headerFooter>
    <oddFooter>&amp;L&amp;D&amp;C&amp;G&amp;RPlan financier Crédal - Dossier confidentiel</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42968243-DC49-4C63-8C88-B40083AE3ED1}">
          <x14:formula1>
            <xm:f>Listes!$A$2:$A$10</xm:f>
          </x14:formula1>
          <xm:sqref>B7:B41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BDF7A-5544-4283-8290-BD0C826CC517}">
  <dimension ref="A1:J10"/>
  <sheetViews>
    <sheetView workbookViewId="0">
      <selection activeCell="B5" sqref="B5"/>
    </sheetView>
  </sheetViews>
  <sheetFormatPr baseColWidth="10" defaultRowHeight="14.4"/>
  <cols>
    <col min="1" max="1" width="34.21875" style="47" bestFit="1" customWidth="1"/>
    <col min="2" max="2" width="22.109375" style="47" bestFit="1" customWidth="1"/>
    <col min="3" max="3" width="11.77734375" style="47" bestFit="1" customWidth="1"/>
    <col min="4" max="4" width="6.33203125" style="47" bestFit="1" customWidth="1"/>
    <col min="5" max="7" width="11.77734375" style="47" bestFit="1" customWidth="1"/>
    <col min="8" max="8" width="6.33203125" style="47" bestFit="1" customWidth="1"/>
    <col min="9" max="9" width="11.77734375" style="47" bestFit="1" customWidth="1"/>
    <col min="10" max="10" width="12.77734375" style="47" bestFit="1" customWidth="1"/>
    <col min="11" max="16384" width="11.5546875" style="47"/>
  </cols>
  <sheetData>
    <row r="1" spans="1:10">
      <c r="A1" s="492" t="s">
        <v>85</v>
      </c>
      <c r="B1" s="492" t="s">
        <v>86</v>
      </c>
      <c r="C1" s="492"/>
      <c r="D1" s="492"/>
      <c r="E1" s="492"/>
      <c r="F1" s="492"/>
      <c r="G1" s="492"/>
      <c r="H1" s="492"/>
      <c r="I1" s="492"/>
      <c r="J1" s="492"/>
    </row>
    <row r="2" spans="1:10">
      <c r="A2" s="492" t="s">
        <v>83</v>
      </c>
      <c r="B2" s="492">
        <v>2018</v>
      </c>
      <c r="C2" s="492">
        <v>2020</v>
      </c>
      <c r="D2" s="492">
        <v>2021</v>
      </c>
      <c r="E2" s="492">
        <v>2022</v>
      </c>
      <c r="F2" s="492">
        <v>2023</v>
      </c>
      <c r="G2" s="492">
        <v>2024</v>
      </c>
      <c r="H2" s="492">
        <v>2025</v>
      </c>
      <c r="I2" s="492">
        <v>2019</v>
      </c>
      <c r="J2" s="492" t="s">
        <v>84</v>
      </c>
    </row>
    <row r="3" spans="1:10">
      <c r="A3" s="493" t="s">
        <v>64</v>
      </c>
      <c r="B3" s="494"/>
      <c r="C3" s="494"/>
      <c r="D3" s="494">
        <v>0</v>
      </c>
      <c r="E3" s="494"/>
      <c r="F3" s="494"/>
      <c r="G3" s="494"/>
      <c r="H3" s="494"/>
      <c r="I3" s="494"/>
      <c r="J3" s="494">
        <v>0</v>
      </c>
    </row>
    <row r="4" spans="1:10">
      <c r="A4" s="493" t="s">
        <v>52</v>
      </c>
      <c r="B4" s="494"/>
      <c r="C4" s="494">
        <v>1500</v>
      </c>
      <c r="D4" s="494">
        <v>0</v>
      </c>
      <c r="E4" s="494"/>
      <c r="F4" s="494">
        <v>3000</v>
      </c>
      <c r="G4" s="494"/>
      <c r="H4" s="494"/>
      <c r="I4" s="494"/>
      <c r="J4" s="494">
        <v>4500</v>
      </c>
    </row>
    <row r="5" spans="1:10">
      <c r="A5" s="493" t="s">
        <v>65</v>
      </c>
      <c r="B5" s="494">
        <v>30000</v>
      </c>
      <c r="C5" s="494"/>
      <c r="D5" s="494">
        <v>0</v>
      </c>
      <c r="E5" s="494"/>
      <c r="F5" s="494"/>
      <c r="G5" s="494"/>
      <c r="H5" s="494"/>
      <c r="I5" s="494"/>
      <c r="J5" s="494">
        <v>30000</v>
      </c>
    </row>
    <row r="6" spans="1:10">
      <c r="A6" s="493" t="s">
        <v>67</v>
      </c>
      <c r="B6" s="494"/>
      <c r="C6" s="494">
        <v>11300</v>
      </c>
      <c r="D6" s="494">
        <v>0</v>
      </c>
      <c r="E6" s="494">
        <v>15000</v>
      </c>
      <c r="F6" s="494">
        <v>26400</v>
      </c>
      <c r="G6" s="494"/>
      <c r="H6" s="494"/>
      <c r="I6" s="494">
        <v>11000</v>
      </c>
      <c r="J6" s="494">
        <v>63700</v>
      </c>
    </row>
    <row r="7" spans="1:10">
      <c r="A7" s="493" t="s">
        <v>69</v>
      </c>
      <c r="B7" s="494"/>
      <c r="C7" s="494"/>
      <c r="D7" s="494"/>
      <c r="E7" s="494"/>
      <c r="F7" s="494"/>
      <c r="G7" s="494"/>
      <c r="H7" s="494">
        <v>0</v>
      </c>
      <c r="I7" s="494"/>
      <c r="J7" s="494">
        <v>0</v>
      </c>
    </row>
    <row r="8" spans="1:10">
      <c r="A8" s="493" t="s">
        <v>70</v>
      </c>
      <c r="B8" s="494"/>
      <c r="C8" s="494"/>
      <c r="D8" s="494"/>
      <c r="E8" s="494"/>
      <c r="F8" s="494"/>
      <c r="G8" s="494">
        <v>15000</v>
      </c>
      <c r="H8" s="494">
        <v>0</v>
      </c>
      <c r="I8" s="494"/>
      <c r="J8" s="494">
        <v>15000</v>
      </c>
    </row>
    <row r="9" spans="1:10">
      <c r="A9" s="493" t="s">
        <v>68</v>
      </c>
      <c r="B9" s="494"/>
      <c r="C9" s="494"/>
      <c r="D9" s="494"/>
      <c r="E9" s="494"/>
      <c r="F9" s="494"/>
      <c r="G9" s="494"/>
      <c r="H9" s="494">
        <v>0</v>
      </c>
      <c r="I9" s="494"/>
      <c r="J9" s="494">
        <v>0</v>
      </c>
    </row>
    <row r="10" spans="1:10">
      <c r="A10" s="493" t="s">
        <v>84</v>
      </c>
      <c r="B10" s="494">
        <v>30000</v>
      </c>
      <c r="C10" s="494">
        <v>12800</v>
      </c>
      <c r="D10" s="494">
        <v>0</v>
      </c>
      <c r="E10" s="494">
        <v>15000</v>
      </c>
      <c r="F10" s="494">
        <v>29400</v>
      </c>
      <c r="G10" s="494">
        <v>15000</v>
      </c>
      <c r="H10" s="494">
        <v>0</v>
      </c>
      <c r="I10" s="494">
        <v>11000</v>
      </c>
      <c r="J10" s="494">
        <v>113200</v>
      </c>
    </row>
  </sheetData>
  <sheetProtection algorithmName="SHA-512" hashValue="b6mg60fmlH6SIw3aVHlvdb0mEzsNPx54kq4Mvbr5D7LY2moz+Gg81DRSDjaF9DXTibpp2Lh0Vs78jUEL3JOdhg==" saltValue="k8HxkhqQh04WuOoycPGd6Q==" spinCount="100000" sheet="1" objects="1" scenarios="1" formatCells="0" formatColumns="0" formatRows="0" insertRows="0" insertHyperlink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F9970-9954-49CA-9F94-4815FD82D8E0}">
  <dimension ref="A1:G56"/>
  <sheetViews>
    <sheetView zoomScale="80" zoomScaleNormal="80" workbookViewId="0">
      <pane ySplit="2" topLeftCell="A41" activePane="bottomLeft" state="frozen"/>
      <selection pane="bottomLeft" activeCell="B31" sqref="B31"/>
    </sheetView>
  </sheetViews>
  <sheetFormatPr baseColWidth="10" defaultColWidth="8.6640625" defaultRowHeight="14.4"/>
  <cols>
    <col min="1" max="1" width="55" style="496" customWidth="1"/>
    <col min="2" max="2" width="23.109375" style="496" customWidth="1"/>
    <col min="3" max="3" width="27.109375" style="496" customWidth="1"/>
    <col min="4" max="4" width="23.109375" style="496" customWidth="1"/>
    <col min="5" max="5" width="16" style="496" customWidth="1"/>
    <col min="6" max="6" width="22.44140625" style="496" customWidth="1"/>
    <col min="7" max="7" width="22.33203125" style="496" customWidth="1"/>
    <col min="8" max="16384" width="8.6640625" style="496"/>
  </cols>
  <sheetData>
    <row r="1" spans="1:7" ht="25.5" customHeight="1">
      <c r="A1" s="495" t="s">
        <v>576</v>
      </c>
      <c r="B1" s="495"/>
      <c r="C1" s="495"/>
      <c r="D1" s="495"/>
      <c r="E1" s="495"/>
      <c r="F1" s="495"/>
      <c r="G1" s="495"/>
    </row>
    <row r="2" spans="1:7" ht="33.75" customHeight="1">
      <c r="A2" s="497" t="s">
        <v>577</v>
      </c>
      <c r="B2" s="497"/>
      <c r="C2" s="498" t="s">
        <v>578</v>
      </c>
      <c r="D2" s="499" t="s">
        <v>579</v>
      </c>
      <c r="E2" s="499"/>
      <c r="F2" s="499"/>
      <c r="G2" s="499"/>
    </row>
    <row r="3" spans="1:7" ht="18" customHeight="1">
      <c r="A3" s="500" t="s">
        <v>580</v>
      </c>
      <c r="B3" s="500"/>
      <c r="C3" s="500"/>
      <c r="D3" s="500"/>
      <c r="E3" s="500"/>
      <c r="F3" s="500"/>
      <c r="G3" s="500"/>
    </row>
    <row r="4" spans="1:7" ht="15.75" customHeight="1">
      <c r="A4" s="501" t="s">
        <v>581</v>
      </c>
      <c r="B4" s="501" t="s">
        <v>582</v>
      </c>
      <c r="C4" s="501" t="s">
        <v>583</v>
      </c>
    </row>
    <row r="5" spans="1:7" ht="28.5" customHeight="1">
      <c r="A5" s="502" t="s">
        <v>584</v>
      </c>
      <c r="B5" s="503">
        <v>45292</v>
      </c>
      <c r="C5" s="504" t="s">
        <v>585</v>
      </c>
    </row>
    <row r="6" spans="1:7" ht="18" customHeight="1">
      <c r="A6" s="502" t="s">
        <v>586</v>
      </c>
      <c r="B6" s="503">
        <v>45784</v>
      </c>
      <c r="C6" s="504" t="s">
        <v>587</v>
      </c>
    </row>
    <row r="7" spans="1:7" ht="18" customHeight="1">
      <c r="A7" s="502" t="s">
        <v>588</v>
      </c>
      <c r="B7" s="505">
        <f>IFERROR(DATEDIF(B5,B6,"Y"),0)</f>
        <v>1</v>
      </c>
      <c r="C7" s="504" t="s">
        <v>589</v>
      </c>
    </row>
    <row r="8" spans="1:7" ht="18" customHeight="1">
      <c r="A8" s="502" t="s">
        <v>590</v>
      </c>
      <c r="B8" s="506">
        <v>112.29</v>
      </c>
      <c r="C8" s="504" t="s">
        <v>591</v>
      </c>
    </row>
    <row r="9" spans="1:7" ht="29.4" customHeight="1">
      <c r="A9" s="502" t="s">
        <v>592</v>
      </c>
      <c r="B9" s="507">
        <v>135.76</v>
      </c>
      <c r="C9" s="508" t="s">
        <v>593</v>
      </c>
    </row>
    <row r="10" spans="1:7" ht="18" customHeight="1">
      <c r="A10" s="509" t="s">
        <v>594</v>
      </c>
      <c r="B10" s="510">
        <f>B9/B8</f>
        <v>1.2090123786623919</v>
      </c>
      <c r="C10" s="504" t="s">
        <v>589</v>
      </c>
    </row>
    <row r="11" spans="1:7" ht="18" customHeight="1">
      <c r="A11" s="502" t="s">
        <v>595</v>
      </c>
      <c r="B11" s="511">
        <f>0.153*B10</f>
        <v>0.18497889393534594</v>
      </c>
      <c r="C11" s="504" t="s">
        <v>596</v>
      </c>
    </row>
    <row r="12" spans="1:7" ht="18" customHeight="1">
      <c r="A12" s="502" t="s">
        <v>597</v>
      </c>
      <c r="B12" s="511">
        <f>0.232*B10</f>
        <v>0.28049087184967492</v>
      </c>
      <c r="C12" s="504" t="s">
        <v>596</v>
      </c>
    </row>
    <row r="13" spans="1:7" ht="18" customHeight="1">
      <c r="A13" s="500" t="s">
        <v>598</v>
      </c>
      <c r="B13" s="500"/>
      <c r="C13" s="500"/>
      <c r="D13" s="500"/>
      <c r="E13" s="500"/>
      <c r="F13" s="500"/>
      <c r="G13" s="500"/>
    </row>
    <row r="14" spans="1:7" ht="15.75" customHeight="1">
      <c r="A14" s="512" t="s">
        <v>599</v>
      </c>
      <c r="B14" s="501" t="s">
        <v>600</v>
      </c>
      <c r="C14" s="513"/>
    </row>
    <row r="15" spans="1:7" ht="18" customHeight="1">
      <c r="A15" s="502" t="s">
        <v>601</v>
      </c>
      <c r="B15" s="514" t="s">
        <v>602</v>
      </c>
      <c r="C15" s="515"/>
    </row>
    <row r="16" spans="1:7" ht="18" customHeight="1">
      <c r="A16" s="502" t="s">
        <v>603</v>
      </c>
      <c r="B16" s="514" t="s">
        <v>602</v>
      </c>
      <c r="C16" s="515"/>
    </row>
    <row r="17" spans="1:7" ht="15.75" customHeight="1">
      <c r="A17" s="501" t="s">
        <v>604</v>
      </c>
      <c r="B17" s="501" t="s">
        <v>600</v>
      </c>
      <c r="C17" s="513"/>
    </row>
    <row r="18" spans="1:7" ht="27" customHeight="1">
      <c r="A18" s="502" t="s">
        <v>605</v>
      </c>
      <c r="B18" s="514" t="s">
        <v>606</v>
      </c>
    </row>
    <row r="19" spans="1:7" ht="27" customHeight="1">
      <c r="A19" s="516" t="s">
        <v>607</v>
      </c>
      <c r="B19" s="514" t="s">
        <v>606</v>
      </c>
    </row>
    <row r="20" spans="1:7" ht="27" customHeight="1">
      <c r="A20" s="516" t="s">
        <v>608</v>
      </c>
      <c r="B20" s="514" t="s">
        <v>606</v>
      </c>
    </row>
    <row r="21" spans="1:7" ht="27" customHeight="1">
      <c r="A21" s="502" t="s">
        <v>609</v>
      </c>
      <c r="B21" s="514">
        <v>0</v>
      </c>
    </row>
    <row r="22" spans="1:7" ht="30.75" customHeight="1">
      <c r="A22" s="517" t="s">
        <v>610</v>
      </c>
      <c r="B22" s="518" t="str">
        <f>IF(AND(B15="oui",B16="oui"),
IF(OR(
  B18="non",
  AND(B18="oui",B19="non",B20="oui")
),"✅ OUI – Exempté","❌ NON – Redevance applicable"),
IF(B16="oui","❌ NON – Redevance applicable","Non concerné"))</f>
        <v>❌ NON – Redevance applicable</v>
      </c>
    </row>
    <row r="23" spans="1:7" ht="45" customHeight="1">
      <c r="A23" s="519" t="s">
        <v>611</v>
      </c>
      <c r="B23" s="519"/>
      <c r="C23" s="519"/>
      <c r="D23" s="519"/>
      <c r="E23" s="519"/>
      <c r="F23" s="519"/>
      <c r="G23" s="519"/>
    </row>
    <row r="24" spans="1:7" ht="18" customHeight="1">
      <c r="A24" s="500" t="s">
        <v>612</v>
      </c>
      <c r="B24" s="500"/>
      <c r="C24" s="500"/>
      <c r="D24" s="500"/>
      <c r="E24" s="500"/>
      <c r="F24" s="500"/>
      <c r="G24" s="500"/>
    </row>
    <row r="25" spans="1:7" ht="15.75" customHeight="1">
      <c r="A25" s="501" t="s">
        <v>613</v>
      </c>
      <c r="B25" s="501" t="s">
        <v>614</v>
      </c>
      <c r="C25" s="501" t="s">
        <v>615</v>
      </c>
    </row>
    <row r="26" spans="1:7" ht="29.25" customHeight="1">
      <c r="A26" s="517" t="s">
        <v>616</v>
      </c>
      <c r="B26" s="520">
        <v>19500</v>
      </c>
      <c r="C26" s="504" t="s">
        <v>617</v>
      </c>
    </row>
    <row r="27" spans="1:7" ht="18" customHeight="1">
      <c r="A27" s="521" t="s">
        <v>618</v>
      </c>
      <c r="B27" s="521"/>
      <c r="C27" s="521"/>
      <c r="D27" s="521"/>
      <c r="E27" s="521"/>
      <c r="F27" s="521"/>
      <c r="G27" s="521"/>
    </row>
    <row r="28" spans="1:7" ht="15.75" customHeight="1">
      <c r="A28" s="522" t="s">
        <v>619</v>
      </c>
      <c r="B28" s="522"/>
      <c r="C28" s="522"/>
      <c r="D28" s="523"/>
      <c r="E28" s="524"/>
    </row>
    <row r="29" spans="1:7" ht="19.8" customHeight="1">
      <c r="A29" s="502" t="s">
        <v>620</v>
      </c>
      <c r="B29" s="525">
        <f>IF(B16="oui",B26*1,0)</f>
        <v>19500</v>
      </c>
      <c r="C29" s="525">
        <f>IF(B16="oui",
ROUNDUP(MIN(B29,B52)/B51,0)*C52
+IF(B29&gt;A53,ROUNDUP(MIN(B29-A53,B53-A53)/B51,0)*C53,0)
+IF(B29&gt;A54,ROUNDUP(MIN(B29-A54,B54-A54)/B51,0)*C54,0)
+IF(B29&gt;A55,ROUNDUP(MIN(B29-A55,B55-A55)/B51,0)*C55,0)
+IF(B29&gt;A56,ROUNDUP((B29-A56)/B51,0)*C56,0),0)</f>
        <v>345</v>
      </c>
    </row>
    <row r="30" spans="1:7" ht="19.8" customHeight="1">
      <c r="A30" s="509" t="s">
        <v>621</v>
      </c>
      <c r="B30" s="526"/>
      <c r="C30" s="525">
        <f>SUM(C29:C29)</f>
        <v>345</v>
      </c>
    </row>
    <row r="31" spans="1:7" ht="19.8" customHeight="1">
      <c r="A31" s="516" t="s">
        <v>622</v>
      </c>
      <c r="B31" s="527" t="s">
        <v>623</v>
      </c>
      <c r="C31" s="526"/>
    </row>
    <row r="32" spans="1:7" ht="30" customHeight="1">
      <c r="A32" s="501" t="s">
        <v>613</v>
      </c>
      <c r="B32" s="501" t="s">
        <v>624</v>
      </c>
      <c r="C32" s="528" t="s">
        <v>625</v>
      </c>
      <c r="D32" s="529" t="s">
        <v>626</v>
      </c>
      <c r="E32" s="501" t="s">
        <v>627</v>
      </c>
    </row>
    <row r="33" spans="1:7" ht="18" customHeight="1">
      <c r="A33" s="502" t="s">
        <v>628</v>
      </c>
      <c r="B33" s="530">
        <v>1</v>
      </c>
      <c r="C33" s="531">
        <f>IF(B31="oui","N/A",IF(B16="oui",IF(B33=0,0,1790+1200*(B33-1)),0))</f>
        <v>1790</v>
      </c>
      <c r="D33" s="532">
        <v>1</v>
      </c>
      <c r="E33" s="525" t="str">
        <f>IF(B31="non","N/A",IF(B16="oui",IF(D33=0,0,1790+1200*(D33-1)),0))</f>
        <v>N/A</v>
      </c>
    </row>
    <row r="34" spans="1:7" ht="28.5" customHeight="1">
      <c r="A34" s="502" t="s">
        <v>629</v>
      </c>
      <c r="B34" s="530">
        <v>1</v>
      </c>
      <c r="C34" s="533">
        <f>IF(B31="oui","N/A",IF(B16="oui",B34*120,0))</f>
        <v>120</v>
      </c>
      <c r="D34" s="534">
        <v>40</v>
      </c>
      <c r="E34" s="525" t="str">
        <f>IF(B31="non","N/A",IF(B16="oui",D34*147,0))</f>
        <v>N/A</v>
      </c>
    </row>
    <row r="35" spans="1:7" ht="18" customHeight="1">
      <c r="A35" s="502" t="s">
        <v>630</v>
      </c>
      <c r="B35" s="530">
        <v>1</v>
      </c>
      <c r="C35" s="533">
        <f>IF(B31="oui","N/A",IF(B16="oui",B35*180,0))</f>
        <v>180</v>
      </c>
      <c r="D35" s="534">
        <v>20</v>
      </c>
      <c r="E35" s="525" t="str">
        <f>IF(B31="non","N/A",IF(B16="oui",D35*180,0))</f>
        <v>N/A</v>
      </c>
    </row>
    <row r="36" spans="1:7" ht="28.5" customHeight="1">
      <c r="A36" s="502" t="s">
        <v>631</v>
      </c>
      <c r="B36" s="526"/>
      <c r="C36" s="531">
        <f>IFERROR(IF(B16="oui",MIN(C34+C35,C30*0.5),C34+C35),"N/A")</f>
        <v>172.5</v>
      </c>
      <c r="D36" s="526"/>
      <c r="E36" s="535" t="str">
        <f>IFERROR(IF(B16="oui",MIN(E34+E35,C30*0.5),E34+E35),"N/A")</f>
        <v>N/A</v>
      </c>
    </row>
    <row r="37" spans="1:7" ht="15.75" customHeight="1">
      <c r="A37" s="521" t="s">
        <v>632</v>
      </c>
      <c r="B37" s="521"/>
      <c r="C37" s="521"/>
      <c r="D37" s="521"/>
      <c r="E37" s="521"/>
      <c r="F37" s="521"/>
      <c r="G37" s="521"/>
    </row>
    <row r="38" spans="1:7" ht="19.5" customHeight="1">
      <c r="A38" s="502" t="s">
        <v>633</v>
      </c>
      <c r="B38" s="536">
        <f>IF(B16="oui",ROUND(4750*B10,0),"N/A")</f>
        <v>5743</v>
      </c>
      <c r="C38" s="504" t="s">
        <v>634</v>
      </c>
    </row>
    <row r="39" spans="1:7" ht="27.75" customHeight="1">
      <c r="A39" s="502" t="s">
        <v>635</v>
      </c>
      <c r="B39" s="536" t="str">
        <f>IF(AND(B16="oui",B26&lt;=15779*B10),2075*B10,"PAS D'APPLICATION")</f>
        <v>PAS D'APPLICATION</v>
      </c>
      <c r="C39" s="504" t="s">
        <v>636</v>
      </c>
    </row>
    <row r="40" spans="1:7" ht="29.4" customHeight="1">
      <c r="A40" s="502" t="s">
        <v>637</v>
      </c>
      <c r="B40" s="536">
        <f>IF(AND(B16="oui",SUM(C33,C36,C30)&lt;B38,B39="PAS D'APPLICATION",B7&lt;2),4450*B10,"PAS D'APPLICATION")</f>
        <v>5380.105085047644</v>
      </c>
      <c r="C40" s="504" t="s">
        <v>638</v>
      </c>
    </row>
    <row r="41" spans="1:7" ht="19.5" customHeight="1">
      <c r="A41" s="517" t="s">
        <v>639</v>
      </c>
      <c r="B41" s="536" cm="1">
        <f t="array" ref="B41">IFERROR(INDEX(_xlfn._xlws.FILTER(B39:B40,B39:B40&lt;&gt;"PAS D'APPLICATION"),1),B38)</f>
        <v>5380.105085047644</v>
      </c>
    </row>
    <row r="42" spans="1:7" ht="18" customHeight="1">
      <c r="A42" s="537" t="s">
        <v>640</v>
      </c>
      <c r="B42" s="537"/>
      <c r="C42" s="537"/>
      <c r="D42" s="537"/>
      <c r="E42" s="537"/>
      <c r="F42" s="537"/>
      <c r="G42" s="537"/>
    </row>
    <row r="43" spans="1:7" ht="45.75" customHeight="1">
      <c r="A43" s="509" t="s">
        <v>641</v>
      </c>
      <c r="B43" s="526"/>
      <c r="C43" s="538">
        <f>IFERROR(IF(B22="✅ OUI – Exempté",0,IF(AND(B16="oui",OR(B15="oui",B16="oui")),MAX(B41,C33+C36+C30),MAX(B41,C33+C34+C35+C30))),"N/A")</f>
        <v>5380.105085047644</v>
      </c>
      <c r="D43" s="509" t="s">
        <v>642</v>
      </c>
      <c r="E43" s="526"/>
      <c r="F43" s="538" t="str">
        <f>IFERROR(IF(B22="✅ OUI – Exempté",0,IF(AND(B16="oui",OR(B15="oui",B16="oui")),MAX(B41,E33+E36+E30),MAX(B41,E33+E34+E35+E30))),"N/A")</f>
        <v>N/A</v>
      </c>
    </row>
    <row r="44" spans="1:7" ht="65.25" customHeight="1">
      <c r="A44" s="517" t="s">
        <v>643</v>
      </c>
      <c r="B44" s="526"/>
      <c r="C44" s="539">
        <f>IFERROR(C43*B11,"N/A")</f>
        <v>995.20588788804355</v>
      </c>
      <c r="D44" s="517" t="s">
        <v>644</v>
      </c>
      <c r="E44" s="526"/>
      <c r="F44" s="539" t="str">
        <f>IFERROR(F43*B11,"N/A")</f>
        <v>N/A</v>
      </c>
    </row>
    <row r="45" spans="1:7" ht="63.75" customHeight="1">
      <c r="A45" s="517" t="s">
        <v>645</v>
      </c>
      <c r="B45" s="526"/>
      <c r="C45" s="539">
        <f>IFERROR(C43*B12,"N/A")</f>
        <v>1509.0703659478831</v>
      </c>
      <c r="D45" s="517" t="s">
        <v>646</v>
      </c>
      <c r="E45" s="526"/>
      <c r="F45" s="539" t="str">
        <f>IFERROR(F43*B12,"N/A")</f>
        <v>N/A</v>
      </c>
    </row>
    <row r="46" spans="1:7" ht="62.25" customHeight="1">
      <c r="A46" s="540" t="s">
        <v>647</v>
      </c>
      <c r="B46" s="526"/>
      <c r="C46" s="539">
        <f>IFERROR(AVERAGE(C44:C45),"N/A")</f>
        <v>1252.1381269179633</v>
      </c>
      <c r="D46" s="540" t="s">
        <v>647</v>
      </c>
      <c r="E46" s="526"/>
      <c r="F46" s="539" t="str">
        <f>IFERROR(AVERAGE(F44:F45),"N/A")</f>
        <v>N/A</v>
      </c>
    </row>
    <row r="47" spans="1:7" ht="39.75" customHeight="1">
      <c r="A47" s="541" t="s">
        <v>648</v>
      </c>
      <c r="B47" s="541"/>
      <c r="C47" s="541"/>
      <c r="D47" s="541"/>
      <c r="E47" s="541"/>
      <c r="F47" s="541"/>
      <c r="G47" s="541"/>
    </row>
    <row r="48" spans="1:7" ht="18" customHeight="1">
      <c r="A48" s="542" t="s">
        <v>649</v>
      </c>
      <c r="B48" s="542"/>
      <c r="C48" s="542"/>
      <c r="D48" s="542"/>
      <c r="E48" s="542"/>
      <c r="F48" s="542"/>
      <c r="G48" s="542"/>
    </row>
    <row r="49" spans="1:7" ht="18" customHeight="1">
      <c r="A49" s="543" t="s">
        <v>650</v>
      </c>
      <c r="B49" s="543"/>
      <c r="C49" s="543"/>
      <c r="D49" s="543"/>
      <c r="E49" s="543"/>
      <c r="F49" s="543"/>
      <c r="G49" s="543"/>
    </row>
    <row r="50" spans="1:7" ht="29.25" customHeight="1">
      <c r="A50" s="544" t="s">
        <v>651</v>
      </c>
      <c r="B50" s="544" t="s">
        <v>652</v>
      </c>
      <c r="C50" s="544" t="s">
        <v>653</v>
      </c>
      <c r="D50" s="513"/>
      <c r="E50" s="513"/>
      <c r="F50" s="513"/>
      <c r="G50" s="513"/>
    </row>
    <row r="51" spans="1:7" ht="15.75" customHeight="1">
      <c r="A51" s="545" t="s">
        <v>654</v>
      </c>
      <c r="B51" s="546">
        <f>6311.5*B10</f>
        <v>7630.6816279276863</v>
      </c>
    </row>
    <row r="52" spans="1:7" ht="15.75" customHeight="1">
      <c r="A52" s="547">
        <v>0</v>
      </c>
      <c r="B52" s="547">
        <f>1577875*B10</f>
        <v>1907670.4069819215</v>
      </c>
      <c r="C52" s="548">
        <v>115</v>
      </c>
    </row>
    <row r="53" spans="1:7" ht="15.75" customHeight="1">
      <c r="A53" s="547">
        <f>1577876*B10</f>
        <v>1907671.6159943002</v>
      </c>
      <c r="B53" s="547">
        <f>7889375*B10</f>
        <v>9538352.0349096078</v>
      </c>
      <c r="C53" s="548">
        <v>57.5</v>
      </c>
    </row>
    <row r="54" spans="1:7" ht="15.75" customHeight="1">
      <c r="A54" s="547">
        <f>7889376*B10</f>
        <v>9538353.2439219858</v>
      </c>
      <c r="B54" s="547">
        <f>18934500*B10</f>
        <v>22892044.883783057</v>
      </c>
      <c r="C54" s="548">
        <v>34.5</v>
      </c>
    </row>
    <row r="55" spans="1:7" ht="15.75" customHeight="1">
      <c r="A55" s="547">
        <f>18934501*B10</f>
        <v>22892046.092795439</v>
      </c>
      <c r="B55" s="547">
        <f>31557500*B10</f>
        <v>38153408.139638431</v>
      </c>
      <c r="C55" s="548">
        <v>20</v>
      </c>
    </row>
    <row r="56" spans="1:7" ht="15.75" customHeight="1">
      <c r="A56" s="547">
        <f>31557501*B10</f>
        <v>38153409.348650813</v>
      </c>
      <c r="B56" s="549"/>
      <c r="C56" s="548">
        <v>11.5</v>
      </c>
    </row>
  </sheetData>
  <sheetProtection algorithmName="SHA-512" hashValue="k56P9cjI2ezetSwkjIr97eoqYDU95U2vOg6ML4F0folzqyCA9+NrRIOMFDIBPG2GcsIlpd08igccZjpsQI8o3g==" saltValue="d0Z1Rtsy/fndc0DB78XYiA==" spinCount="100000" sheet="1" objects="1" scenarios="1" formatCells="0" formatColumns="0" formatRows="0" insertRows="0" insertHyperlinks="0" sort="0" autoFilter="0" pivotTables="0"/>
  <mergeCells count="14">
    <mergeCell ref="A23:G23"/>
    <mergeCell ref="A1:G1"/>
    <mergeCell ref="A2:B2"/>
    <mergeCell ref="D2:G2"/>
    <mergeCell ref="A3:G3"/>
    <mergeCell ref="A13:G13"/>
    <mergeCell ref="A48:G48"/>
    <mergeCell ref="A49:G49"/>
    <mergeCell ref="A24:G24"/>
    <mergeCell ref="A27:G27"/>
    <mergeCell ref="A28:C28"/>
    <mergeCell ref="A37:G37"/>
    <mergeCell ref="A42:G42"/>
    <mergeCell ref="A47:G47"/>
  </mergeCells>
  <dataValidations count="2">
    <dataValidation type="list" allowBlank="1" showInputMessage="1" showErrorMessage="1" sqref="B18:B20" xr:uid="{096069AE-D62E-41D5-8BE7-466CCC62C596}">
      <formula1>"oui,non,pas d'application"</formula1>
      <formula2>0</formula2>
    </dataValidation>
    <dataValidation type="list" errorTitle="Valeur invalide" error="Saisir oui ou non" sqref="B15:B16 B28 B30:B31" xr:uid="{1E63FDAA-C9FB-4AD1-8229-6E3AC44104EC}">
      <formula1>"oui,non"</formula1>
      <formula2>0</formula2>
    </dataValidation>
  </dataValidation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934A1-B068-4C71-9AEC-077E40E005E8}">
  <sheetPr>
    <pageSetUpPr fitToPage="1"/>
  </sheetPr>
  <dimension ref="A1:O98"/>
  <sheetViews>
    <sheetView showGridLines="0" topLeftCell="A79" zoomScale="85" zoomScaleNormal="85" zoomScaleSheetLayoutView="85" zoomScalePageLayoutView="75" workbookViewId="0">
      <selection activeCell="B11" sqref="B11:D11"/>
    </sheetView>
  </sheetViews>
  <sheetFormatPr baseColWidth="10" defaultColWidth="11.44140625" defaultRowHeight="13.8" outlineLevelRow="1" outlineLevelCol="1"/>
  <cols>
    <col min="1" max="1" width="7.109375" style="85" customWidth="1" outlineLevel="1"/>
    <col min="2" max="2" width="22.33203125" style="49" bestFit="1" customWidth="1"/>
    <col min="3" max="3" width="14.5546875" style="49" customWidth="1"/>
    <col min="4" max="4" width="25.6640625" style="49" customWidth="1"/>
    <col min="5" max="5" width="31" style="49" customWidth="1"/>
    <col min="6" max="6" width="7" style="49" customWidth="1"/>
    <col min="7" max="7" width="3" style="49" customWidth="1"/>
    <col min="8" max="11" width="21.33203125" style="606" customWidth="1" outlineLevel="1"/>
    <col min="12" max="12" width="57" style="89" customWidth="1" outlineLevel="1"/>
    <col min="13" max="13" width="12.6640625" style="49" bestFit="1" customWidth="1"/>
    <col min="14" max="14" width="11.44140625" style="49"/>
    <col min="15" max="18" width="11.5546875" style="49" bestFit="1" customWidth="1"/>
    <col min="19" max="16384" width="11.44140625" style="49"/>
  </cols>
  <sheetData>
    <row r="1" spans="2:15" s="463" customFormat="1"/>
    <row r="2" spans="2:15" s="463" customFormat="1" ht="13.8" customHeight="1">
      <c r="B2" s="467"/>
      <c r="C2" s="467"/>
      <c r="D2" s="467"/>
      <c r="E2" s="467"/>
      <c r="F2" s="467"/>
      <c r="G2" s="467"/>
      <c r="H2" s="467"/>
      <c r="I2" s="467"/>
      <c r="L2" s="467"/>
    </row>
    <row r="3" spans="2:15" s="463" customFormat="1" ht="13.8" customHeight="1">
      <c r="B3" s="467"/>
      <c r="C3" s="467"/>
      <c r="D3" s="467"/>
      <c r="E3" s="467"/>
      <c r="F3" s="467"/>
      <c r="G3" s="467"/>
      <c r="H3" s="467"/>
      <c r="I3" s="467"/>
      <c r="L3" s="467"/>
    </row>
    <row r="4" spans="2:15" s="463" customFormat="1" ht="13.8" customHeight="1">
      <c r="B4" s="467"/>
      <c r="C4" s="467"/>
      <c r="D4" s="467"/>
      <c r="E4" s="467"/>
      <c r="F4" s="467"/>
      <c r="G4" s="467"/>
      <c r="H4" s="467"/>
      <c r="I4" s="467"/>
      <c r="L4" s="467"/>
    </row>
    <row r="5" spans="2:15" s="463" customFormat="1"/>
    <row r="6" spans="2:15" s="463" customFormat="1"/>
    <row r="7" spans="2:15" ht="14.4">
      <c r="B7" s="550" t="s">
        <v>264</v>
      </c>
      <c r="C7" s="550"/>
      <c r="D7" s="550"/>
      <c r="E7" s="550"/>
      <c r="F7" s="550"/>
      <c r="G7" s="550"/>
      <c r="H7" s="551"/>
      <c r="I7" s="551"/>
      <c r="J7" s="551"/>
      <c r="K7" s="551"/>
      <c r="L7" s="551"/>
    </row>
    <row r="8" spans="2:15" ht="14.4">
      <c r="B8" s="550" t="s">
        <v>262</v>
      </c>
      <c r="C8" s="550"/>
      <c r="D8" s="550"/>
      <c r="E8" s="550"/>
      <c r="F8" s="550"/>
      <c r="G8" s="550"/>
      <c r="H8" s="551"/>
      <c r="I8" s="551"/>
      <c r="J8" s="551"/>
      <c r="K8" s="551"/>
      <c r="L8" s="551"/>
    </row>
    <row r="9" spans="2:15" ht="14.4">
      <c r="B9" s="550"/>
      <c r="C9" s="550"/>
      <c r="D9" s="550"/>
      <c r="E9" s="550"/>
      <c r="F9" s="550"/>
      <c r="G9" s="550"/>
      <c r="H9" s="551"/>
      <c r="I9" s="551"/>
      <c r="J9" s="551"/>
      <c r="K9" s="551"/>
      <c r="L9" s="551"/>
    </row>
    <row r="10" spans="2:15" ht="14.4" customHeight="1" thickBot="1">
      <c r="C10" s="86"/>
      <c r="D10" s="86"/>
      <c r="E10" s="550"/>
      <c r="F10" s="550"/>
      <c r="G10" s="550"/>
      <c r="H10" s="551"/>
      <c r="I10" s="551"/>
      <c r="J10" s="551"/>
      <c r="K10" s="551"/>
      <c r="L10" s="551"/>
    </row>
    <row r="11" spans="2:15" ht="29.4" customHeight="1" thickBot="1">
      <c r="B11" s="391" t="s">
        <v>432</v>
      </c>
      <c r="C11" s="392"/>
      <c r="D11" s="393"/>
      <c r="E11" s="87">
        <v>0.3</v>
      </c>
      <c r="F11" s="551"/>
      <c r="G11" s="550"/>
      <c r="H11" s="551"/>
      <c r="I11" s="551"/>
      <c r="J11" s="551"/>
      <c r="K11" s="551"/>
      <c r="L11" s="551"/>
    </row>
    <row r="12" spans="2:15" ht="29.4" customHeight="1">
      <c r="B12" s="88"/>
      <c r="C12" s="88"/>
      <c r="D12" s="88"/>
      <c r="E12" s="551"/>
      <c r="F12" s="551"/>
      <c r="G12" s="551"/>
      <c r="H12" s="551"/>
      <c r="I12" s="551"/>
      <c r="J12" s="551"/>
      <c r="K12" s="551"/>
      <c r="L12" s="551"/>
    </row>
    <row r="13" spans="2:15" ht="33.6" customHeight="1">
      <c r="B13" s="550"/>
      <c r="C13" s="550"/>
      <c r="D13" s="550"/>
      <c r="E13" s="607" t="s">
        <v>430</v>
      </c>
      <c r="F13" s="607"/>
      <c r="G13" s="552"/>
      <c r="H13" s="608" t="s">
        <v>431</v>
      </c>
      <c r="I13" s="608"/>
      <c r="J13" s="608"/>
      <c r="K13" s="608"/>
      <c r="L13" s="551"/>
    </row>
    <row r="14" spans="2:15" ht="22.8" customHeight="1" thickBot="1">
      <c r="B14" s="89"/>
      <c r="C14" s="89"/>
      <c r="D14" s="89"/>
      <c r="G14" s="553"/>
      <c r="H14" s="89"/>
      <c r="I14" s="89"/>
      <c r="J14" s="554" t="s">
        <v>80</v>
      </c>
      <c r="K14" s="89"/>
      <c r="M14" s="89"/>
      <c r="N14" s="89"/>
      <c r="O14" s="89"/>
    </row>
    <row r="15" spans="2:15" ht="25.8" customHeight="1" thickBot="1">
      <c r="B15" s="396" t="s">
        <v>263</v>
      </c>
      <c r="C15" s="397"/>
      <c r="D15" s="398"/>
      <c r="G15" s="553"/>
      <c r="H15" s="91">
        <v>0.03</v>
      </c>
      <c r="I15" s="91">
        <v>0.03</v>
      </c>
      <c r="J15" s="91">
        <v>0.03</v>
      </c>
      <c r="K15" s="91">
        <v>0.03</v>
      </c>
      <c r="L15" s="90" t="s">
        <v>263</v>
      </c>
      <c r="M15" s="555"/>
      <c r="N15" s="556"/>
      <c r="O15" s="89"/>
    </row>
    <row r="16" spans="2:15" ht="24.6" customHeight="1" thickBot="1">
      <c r="B16" s="399" t="s">
        <v>158</v>
      </c>
      <c r="C16" s="399"/>
      <c r="D16" s="400"/>
      <c r="E16" s="609" t="str">
        <f>(I16&amp;" (Dernière année complète)")</f>
        <v>2025 (Dernière année complète)</v>
      </c>
      <c r="F16" s="609" t="s">
        <v>514</v>
      </c>
      <c r="G16" s="557"/>
      <c r="H16" s="609">
        <f>'1. DONNEES DE BASE'!$B$1-2</f>
        <v>2024</v>
      </c>
      <c r="I16" s="609">
        <f>H16+1</f>
        <v>2025</v>
      </c>
      <c r="J16" s="609">
        <f>I16+1</f>
        <v>2026</v>
      </c>
      <c r="K16" s="609">
        <f>J16+1</f>
        <v>2027</v>
      </c>
      <c r="L16" s="92" t="s">
        <v>158</v>
      </c>
      <c r="M16" s="558"/>
      <c r="N16" s="559"/>
    </row>
    <row r="17" spans="1:12" s="566" customFormat="1" ht="32.25" customHeight="1" thickBot="1">
      <c r="A17" s="93"/>
      <c r="B17" s="560" t="s">
        <v>96</v>
      </c>
      <c r="C17" s="561"/>
      <c r="D17" s="562"/>
      <c r="E17" s="563"/>
      <c r="F17" s="563"/>
      <c r="G17" s="564"/>
      <c r="H17" s="565" t="s">
        <v>349</v>
      </c>
      <c r="I17" s="565" t="s">
        <v>349</v>
      </c>
      <c r="J17" s="565" t="s">
        <v>349</v>
      </c>
      <c r="K17" s="565" t="s">
        <v>349</v>
      </c>
      <c r="L17" s="89"/>
    </row>
    <row r="18" spans="1:12" ht="18.899999999999999" customHeight="1" thickBot="1">
      <c r="B18" s="567"/>
      <c r="C18" s="568"/>
      <c r="D18" s="569"/>
      <c r="E18" s="610">
        <f>SUM(E21,E30,E41,E50,E56,E57,E66,,E71,E72,E77,E81)</f>
        <v>4670</v>
      </c>
      <c r="F18" s="611"/>
      <c r="G18" s="570"/>
      <c r="H18" s="610">
        <f ca="1">SUM(H21,H30,H41,H50,H56,H57,H66,H70,H71,H72,H77,H81)</f>
        <v>22865.2111113422</v>
      </c>
      <c r="I18" s="610">
        <f ca="1">SUM(I21,I30,I41,I50,I56,I57,I66,I70,I71,I72,I77,I81)</f>
        <v>20919.467444682468</v>
      </c>
      <c r="J18" s="610">
        <f ca="1">SUM(J21,J30,J41,J50,J56,J57,J66,J70,J71,J72,J77,J81)</f>
        <v>21243.151468022941</v>
      </c>
      <c r="K18" s="610">
        <f ca="1">SUM(K21,K30,K41,K50,K56,K57,K66,K70,K71,K72,K77,K81)</f>
        <v>21576.546012063634</v>
      </c>
    </row>
    <row r="19" spans="1:12" ht="13.95" customHeight="1" thickBot="1">
      <c r="B19" s="94"/>
      <c r="C19" s="94"/>
      <c r="D19" s="94"/>
      <c r="E19" s="94"/>
      <c r="F19" s="94"/>
      <c r="G19" s="571"/>
      <c r="H19" s="95"/>
      <c r="I19" s="95"/>
      <c r="J19" s="95"/>
      <c r="K19" s="95"/>
      <c r="L19" s="96"/>
    </row>
    <row r="20" spans="1:12" ht="34.799999999999997" customHeight="1" thickBot="1">
      <c r="A20" s="97" t="s">
        <v>511</v>
      </c>
      <c r="B20" s="394" t="s">
        <v>98</v>
      </c>
      <c r="C20" s="394"/>
      <c r="D20" s="395"/>
      <c r="E20" s="98"/>
      <c r="F20" s="98"/>
      <c r="G20" s="572"/>
      <c r="H20" s="99" t="s">
        <v>157</v>
      </c>
      <c r="I20" s="99" t="s">
        <v>157</v>
      </c>
      <c r="J20" s="99" t="s">
        <v>157</v>
      </c>
      <c r="K20" s="99" t="s">
        <v>157</v>
      </c>
      <c r="L20" s="100" t="s">
        <v>99</v>
      </c>
    </row>
    <row r="21" spans="1:12" ht="15" customHeight="1" thickBot="1">
      <c r="A21" s="573">
        <v>611</v>
      </c>
      <c r="B21" s="574" t="s">
        <v>100</v>
      </c>
      <c r="C21" s="575"/>
      <c r="D21" s="576"/>
      <c r="E21" s="612">
        <f>E22+E26</f>
        <v>600</v>
      </c>
      <c r="F21" s="14">
        <f>$E$11</f>
        <v>0.3</v>
      </c>
      <c r="G21" s="577"/>
      <c r="H21" s="612">
        <f>H22+H26</f>
        <v>174.75728155339806</v>
      </c>
      <c r="I21" s="612">
        <f>I22+I26</f>
        <v>180</v>
      </c>
      <c r="J21" s="612">
        <f>J22+J26</f>
        <v>185.4</v>
      </c>
      <c r="K21" s="612">
        <f>K22+K26</f>
        <v>190.96200000000002</v>
      </c>
      <c r="L21" s="101"/>
    </row>
    <row r="22" spans="1:12" ht="15" customHeight="1" outlineLevel="1" thickBot="1">
      <c r="A22" s="102">
        <v>6110</v>
      </c>
      <c r="B22" s="578" t="s">
        <v>101</v>
      </c>
      <c r="C22" s="578"/>
      <c r="D22" s="579"/>
      <c r="E22" s="613">
        <f>SUM(E23:E25)</f>
        <v>300</v>
      </c>
      <c r="F22" s="14">
        <f t="shared" ref="F22:F85" si="0">$E$11</f>
        <v>0.3</v>
      </c>
      <c r="G22" s="580"/>
      <c r="H22" s="613">
        <f>SUM(H23:H25)</f>
        <v>87.378640776699029</v>
      </c>
      <c r="I22" s="613">
        <f>SUM(I23:I25)</f>
        <v>90</v>
      </c>
      <c r="J22" s="613">
        <f>SUM(J23:J25)</f>
        <v>92.7</v>
      </c>
      <c r="K22" s="613">
        <f>SUM(K23:K25)</f>
        <v>95.481000000000009</v>
      </c>
      <c r="L22" s="103"/>
    </row>
    <row r="23" spans="1:12" ht="15" customHeight="1" outlineLevel="1" thickBot="1">
      <c r="A23" s="104">
        <v>6111</v>
      </c>
      <c r="B23" s="385" t="s">
        <v>102</v>
      </c>
      <c r="C23" s="374"/>
      <c r="D23" s="375"/>
      <c r="E23" s="105">
        <v>100</v>
      </c>
      <c r="F23" s="14">
        <f t="shared" si="0"/>
        <v>0.3</v>
      </c>
      <c r="G23" s="581"/>
      <c r="H23" s="106">
        <f>I23/(1+H$15)</f>
        <v>29.126213592233007</v>
      </c>
      <c r="I23" s="106">
        <f>F23*E23</f>
        <v>30</v>
      </c>
      <c r="J23" s="106">
        <f t="shared" ref="J23:K25" si="1">I23*(1+J$15)</f>
        <v>30.900000000000002</v>
      </c>
      <c r="K23" s="106">
        <f t="shared" si="1"/>
        <v>31.827000000000002</v>
      </c>
      <c r="L23" s="103"/>
    </row>
    <row r="24" spans="1:12" ht="15" customHeight="1" outlineLevel="1" thickBot="1">
      <c r="A24" s="104">
        <v>6112</v>
      </c>
      <c r="B24" s="385" t="s">
        <v>103</v>
      </c>
      <c r="C24" s="374"/>
      <c r="D24" s="375"/>
      <c r="E24" s="105">
        <v>100</v>
      </c>
      <c r="F24" s="14">
        <f t="shared" si="0"/>
        <v>0.3</v>
      </c>
      <c r="G24" s="581"/>
      <c r="H24" s="106">
        <f>I24/(1+H$15)</f>
        <v>29.126213592233007</v>
      </c>
      <c r="I24" s="106">
        <f t="shared" ref="I24:I25" si="2">F24*E24</f>
        <v>30</v>
      </c>
      <c r="J24" s="106">
        <f t="shared" si="1"/>
        <v>30.900000000000002</v>
      </c>
      <c r="K24" s="106">
        <f t="shared" si="1"/>
        <v>31.827000000000002</v>
      </c>
      <c r="L24" s="103"/>
    </row>
    <row r="25" spans="1:12" ht="15" customHeight="1" outlineLevel="1" thickBot="1">
      <c r="A25" s="104">
        <v>6113</v>
      </c>
      <c r="B25" s="385" t="s">
        <v>104</v>
      </c>
      <c r="C25" s="374"/>
      <c r="D25" s="375"/>
      <c r="E25" s="105">
        <v>100</v>
      </c>
      <c r="F25" s="14">
        <f t="shared" si="0"/>
        <v>0.3</v>
      </c>
      <c r="G25" s="581"/>
      <c r="H25" s="106">
        <f t="shared" ref="H25:I56" si="3">I25/(1+H$15)</f>
        <v>29.126213592233007</v>
      </c>
      <c r="I25" s="106">
        <f t="shared" si="2"/>
        <v>30</v>
      </c>
      <c r="J25" s="106">
        <f t="shared" si="1"/>
        <v>30.900000000000002</v>
      </c>
      <c r="K25" s="106">
        <f t="shared" si="1"/>
        <v>31.827000000000002</v>
      </c>
      <c r="L25" s="103"/>
    </row>
    <row r="26" spans="1:12" ht="15" customHeight="1" outlineLevel="1" thickBot="1">
      <c r="A26" s="107"/>
      <c r="B26" s="582" t="s">
        <v>105</v>
      </c>
      <c r="C26" s="583"/>
      <c r="D26" s="583"/>
      <c r="E26" s="613">
        <f>SUM(E27:E29)</f>
        <v>300</v>
      </c>
      <c r="F26" s="14">
        <f t="shared" si="0"/>
        <v>0.3</v>
      </c>
      <c r="G26" s="584"/>
      <c r="H26" s="613">
        <f>SUM(H27:H29)</f>
        <v>87.378640776699029</v>
      </c>
      <c r="I26" s="613">
        <f>SUM(I27:I29)</f>
        <v>90</v>
      </c>
      <c r="J26" s="613">
        <f>SUM(J27:J29)</f>
        <v>92.7</v>
      </c>
      <c r="K26" s="613">
        <f>SUM(K27:K29)</f>
        <v>95.481000000000009</v>
      </c>
      <c r="L26" s="103"/>
    </row>
    <row r="27" spans="1:12" ht="15" customHeight="1" outlineLevel="1" thickBot="1">
      <c r="A27" s="104">
        <v>6116</v>
      </c>
      <c r="B27" s="385" t="s">
        <v>106</v>
      </c>
      <c r="C27" s="374"/>
      <c r="D27" s="375"/>
      <c r="E27" s="105">
        <v>100</v>
      </c>
      <c r="F27" s="14">
        <f t="shared" si="0"/>
        <v>0.3</v>
      </c>
      <c r="G27" s="581"/>
      <c r="H27" s="106">
        <f>I27/(1+H$15)</f>
        <v>29.126213592233007</v>
      </c>
      <c r="I27" s="106">
        <f>F27*E27</f>
        <v>30</v>
      </c>
      <c r="J27" s="106">
        <f t="shared" ref="J27:K29" si="4">I27*(1+J$15)</f>
        <v>30.900000000000002</v>
      </c>
      <c r="K27" s="106">
        <f t="shared" si="4"/>
        <v>31.827000000000002</v>
      </c>
      <c r="L27" s="103"/>
    </row>
    <row r="28" spans="1:12" ht="15" customHeight="1" outlineLevel="1" thickBot="1">
      <c r="A28" s="104">
        <v>6116</v>
      </c>
      <c r="B28" s="385" t="s">
        <v>107</v>
      </c>
      <c r="C28" s="374"/>
      <c r="D28" s="375"/>
      <c r="E28" s="105">
        <v>100</v>
      </c>
      <c r="F28" s="14">
        <f t="shared" si="0"/>
        <v>0.3</v>
      </c>
      <c r="G28" s="581"/>
      <c r="H28" s="106">
        <f t="shared" si="3"/>
        <v>29.126213592233007</v>
      </c>
      <c r="I28" s="106">
        <f t="shared" ref="I28:I29" si="5">F28*E28</f>
        <v>30</v>
      </c>
      <c r="J28" s="106">
        <f t="shared" si="4"/>
        <v>30.900000000000002</v>
      </c>
      <c r="K28" s="106">
        <f t="shared" si="4"/>
        <v>31.827000000000002</v>
      </c>
      <c r="L28" s="103"/>
    </row>
    <row r="29" spans="1:12" ht="15" customHeight="1" outlineLevel="1" thickBot="1">
      <c r="A29" s="104">
        <v>6116</v>
      </c>
      <c r="B29" s="385" t="s">
        <v>104</v>
      </c>
      <c r="C29" s="374"/>
      <c r="D29" s="375"/>
      <c r="E29" s="105">
        <v>100</v>
      </c>
      <c r="F29" s="14">
        <f t="shared" si="0"/>
        <v>0.3</v>
      </c>
      <c r="G29" s="581"/>
      <c r="H29" s="106">
        <f t="shared" si="3"/>
        <v>29.126213592233007</v>
      </c>
      <c r="I29" s="106">
        <f t="shared" si="5"/>
        <v>30</v>
      </c>
      <c r="J29" s="106">
        <f t="shared" si="4"/>
        <v>30.900000000000002</v>
      </c>
      <c r="K29" s="106">
        <f t="shared" si="4"/>
        <v>31.827000000000002</v>
      </c>
      <c r="L29" s="103"/>
    </row>
    <row r="30" spans="1:12" ht="15" customHeight="1" thickBot="1">
      <c r="A30" s="573">
        <v>612</v>
      </c>
      <c r="B30" s="574" t="s">
        <v>108</v>
      </c>
      <c r="C30" s="575"/>
      <c r="D30" s="576"/>
      <c r="E30" s="612">
        <f>SUM(E31:E35,E36)</f>
        <v>800</v>
      </c>
      <c r="F30" s="14">
        <f t="shared" si="0"/>
        <v>0.3</v>
      </c>
      <c r="G30" s="577"/>
      <c r="H30" s="612">
        <f ca="1">SUM(H31:H35,H36)</f>
        <v>52.356741131743405</v>
      </c>
      <c r="I30" s="612">
        <f ca="1">SUM(I31:I35,I36)</f>
        <v>53.927443365695723</v>
      </c>
      <c r="J30" s="612">
        <f ca="1">SUM(J31:J35,J36)</f>
        <v>55.545266666666606</v>
      </c>
      <c r="K30" s="612">
        <f ca="1">SUM(K31:K35,K36)</f>
        <v>57.211624666666609</v>
      </c>
      <c r="L30" s="101"/>
    </row>
    <row r="31" spans="1:12" ht="15" customHeight="1" outlineLevel="1" thickBot="1">
      <c r="A31" s="108">
        <v>6120</v>
      </c>
      <c r="B31" s="374" t="s">
        <v>109</v>
      </c>
      <c r="C31" s="374"/>
      <c r="D31" s="375"/>
      <c r="E31" s="105">
        <v>100</v>
      </c>
      <c r="F31" s="14">
        <f t="shared" si="0"/>
        <v>0.3</v>
      </c>
      <c r="G31" s="581"/>
      <c r="H31" s="106">
        <f t="shared" si="3"/>
        <v>29.126213592233007</v>
      </c>
      <c r="I31" s="106">
        <f>F31*E31</f>
        <v>30</v>
      </c>
      <c r="J31" s="106">
        <f t="shared" ref="J31:K35" si="6">I31*(1+J$15)</f>
        <v>30.900000000000002</v>
      </c>
      <c r="K31" s="106">
        <f t="shared" si="6"/>
        <v>31.827000000000002</v>
      </c>
      <c r="L31" s="103"/>
    </row>
    <row r="32" spans="1:12" ht="15" customHeight="1" outlineLevel="1" thickBot="1">
      <c r="A32" s="108">
        <v>6121</v>
      </c>
      <c r="B32" s="375" t="s">
        <v>110</v>
      </c>
      <c r="C32" s="383"/>
      <c r="D32" s="383"/>
      <c r="E32" s="105">
        <v>100</v>
      </c>
      <c r="F32" s="14">
        <f t="shared" si="0"/>
        <v>0.3</v>
      </c>
      <c r="G32" s="581"/>
      <c r="H32" s="106">
        <f t="shared" si="3"/>
        <v>29.126213592233007</v>
      </c>
      <c r="I32" s="106">
        <f t="shared" ref="I32:I35" si="7">F32*E32</f>
        <v>30</v>
      </c>
      <c r="J32" s="106">
        <f t="shared" si="6"/>
        <v>30.900000000000002</v>
      </c>
      <c r="K32" s="106">
        <f t="shared" si="6"/>
        <v>31.827000000000002</v>
      </c>
      <c r="L32" s="103"/>
    </row>
    <row r="33" spans="1:12" ht="15" customHeight="1" outlineLevel="1" thickBot="1">
      <c r="A33" s="108">
        <v>6122</v>
      </c>
      <c r="B33" s="374" t="s">
        <v>111</v>
      </c>
      <c r="C33" s="374"/>
      <c r="D33" s="375"/>
      <c r="E33" s="105">
        <v>100</v>
      </c>
      <c r="F33" s="14">
        <f t="shared" si="0"/>
        <v>0.3</v>
      </c>
      <c r="G33" s="581"/>
      <c r="H33" s="106">
        <f t="shared" si="3"/>
        <v>29.126213592233007</v>
      </c>
      <c r="I33" s="106">
        <f t="shared" si="7"/>
        <v>30</v>
      </c>
      <c r="J33" s="106">
        <f t="shared" si="6"/>
        <v>30.900000000000002</v>
      </c>
      <c r="K33" s="106">
        <f t="shared" si="6"/>
        <v>31.827000000000002</v>
      </c>
      <c r="L33" s="103"/>
    </row>
    <row r="34" spans="1:12" ht="15" customHeight="1" outlineLevel="1" thickBot="1">
      <c r="A34" s="108">
        <v>6123</v>
      </c>
      <c r="B34" s="374" t="s">
        <v>112</v>
      </c>
      <c r="C34" s="374"/>
      <c r="D34" s="375"/>
      <c r="E34" s="105">
        <v>100</v>
      </c>
      <c r="F34" s="14">
        <f t="shared" si="0"/>
        <v>0.3</v>
      </c>
      <c r="G34" s="581"/>
      <c r="H34" s="106">
        <f t="shared" si="3"/>
        <v>29.126213592233007</v>
      </c>
      <c r="I34" s="106">
        <f t="shared" si="7"/>
        <v>30</v>
      </c>
      <c r="J34" s="106">
        <f t="shared" si="6"/>
        <v>30.900000000000002</v>
      </c>
      <c r="K34" s="106">
        <f t="shared" si="6"/>
        <v>31.827000000000002</v>
      </c>
      <c r="L34" s="103"/>
    </row>
    <row r="35" spans="1:12" ht="15" customHeight="1" outlineLevel="1" thickBot="1">
      <c r="A35" s="108">
        <v>6124</v>
      </c>
      <c r="B35" s="374" t="s">
        <v>113</v>
      </c>
      <c r="C35" s="374"/>
      <c r="D35" s="375"/>
      <c r="E35" s="105">
        <v>100</v>
      </c>
      <c r="F35" s="14">
        <f t="shared" si="0"/>
        <v>0.3</v>
      </c>
      <c r="G35" s="581"/>
      <c r="H35" s="106">
        <f t="shared" si="3"/>
        <v>29.126213592233007</v>
      </c>
      <c r="I35" s="106">
        <f t="shared" si="7"/>
        <v>30</v>
      </c>
      <c r="J35" s="106">
        <f t="shared" si="6"/>
        <v>30.900000000000002</v>
      </c>
      <c r="K35" s="106">
        <f t="shared" si="6"/>
        <v>31.827000000000002</v>
      </c>
      <c r="L35" s="103"/>
    </row>
    <row r="36" spans="1:12" ht="15" customHeight="1" outlineLevel="1" thickBot="1">
      <c r="A36" s="109"/>
      <c r="B36" s="578" t="s">
        <v>114</v>
      </c>
      <c r="C36" s="578"/>
      <c r="D36" s="579"/>
      <c r="E36" s="613">
        <f>SUM(E37:E40)</f>
        <v>300</v>
      </c>
      <c r="F36" s="14">
        <f t="shared" si="0"/>
        <v>0.3</v>
      </c>
      <c r="G36" s="580"/>
      <c r="H36" s="613">
        <f ca="1">SUM(H37:H40)</f>
        <v>-93.274326829421625</v>
      </c>
      <c r="I36" s="613">
        <f ca="1">SUM(I37:I40)</f>
        <v>-96.072556634304277</v>
      </c>
      <c r="J36" s="613">
        <f ca="1">SUM(J37:J40)</f>
        <v>-98.954733333333394</v>
      </c>
      <c r="K36" s="613">
        <f ca="1">SUM(K37:K40)</f>
        <v>-101.92337533333341</v>
      </c>
      <c r="L36" s="103"/>
    </row>
    <row r="37" spans="1:12" ht="15" customHeight="1" outlineLevel="1" thickBot="1">
      <c r="A37" s="108">
        <v>6125</v>
      </c>
      <c r="B37" s="374" t="s">
        <v>193</v>
      </c>
      <c r="C37" s="374"/>
      <c r="D37" s="375"/>
      <c r="E37" s="105">
        <v>100</v>
      </c>
      <c r="F37" s="14">
        <f t="shared" si="0"/>
        <v>0.3</v>
      </c>
      <c r="G37" s="581"/>
      <c r="H37" s="106">
        <f t="shared" si="3"/>
        <v>29.126213592233007</v>
      </c>
      <c r="I37" s="106">
        <f>F37*E37</f>
        <v>30</v>
      </c>
      <c r="J37" s="106">
        <f t="shared" ref="J37:K40" si="8">I37*(1+J$15)</f>
        <v>30.900000000000002</v>
      </c>
      <c r="K37" s="106">
        <f t="shared" si="8"/>
        <v>31.827000000000002</v>
      </c>
      <c r="L37" s="103"/>
    </row>
    <row r="38" spans="1:12" ht="15" customHeight="1" outlineLevel="1" thickBot="1">
      <c r="A38" s="108">
        <v>6126</v>
      </c>
      <c r="B38" s="374"/>
      <c r="C38" s="374"/>
      <c r="D38" s="375"/>
      <c r="E38" s="105">
        <v>100</v>
      </c>
      <c r="F38" s="14">
        <f t="shared" si="0"/>
        <v>0.3</v>
      </c>
      <c r="G38" s="581"/>
      <c r="H38" s="106">
        <f t="shared" si="3"/>
        <v>29.126213592233007</v>
      </c>
      <c r="I38" s="106">
        <f t="shared" ref="I38:I40" si="9">F38*E38</f>
        <v>30</v>
      </c>
      <c r="J38" s="106">
        <f t="shared" si="8"/>
        <v>30.900000000000002</v>
      </c>
      <c r="K38" s="106">
        <f t="shared" si="8"/>
        <v>31.827000000000002</v>
      </c>
      <c r="L38" s="103"/>
    </row>
    <row r="39" spans="1:12" ht="15" customHeight="1" outlineLevel="1" thickBot="1">
      <c r="A39" s="108">
        <v>6127</v>
      </c>
      <c r="B39" s="374" t="s">
        <v>546</v>
      </c>
      <c r="C39" s="374"/>
      <c r="D39" s="375"/>
      <c r="E39" s="585"/>
      <c r="F39" s="586"/>
      <c r="G39" s="581"/>
      <c r="H39" s="106">
        <f t="shared" ca="1" si="3"/>
        <v>-180.65296760612065</v>
      </c>
      <c r="I39" s="106">
        <f t="shared" ca="1" si="3"/>
        <v>-186.07255663430428</v>
      </c>
      <c r="J39" s="613">
        <f ca="1">'5. RESUME GAMME - CACV'!U69*'5. RESUME GAMME - CACV'!U60*(-1)</f>
        <v>-191.65473333333341</v>
      </c>
      <c r="K39" s="106">
        <f t="shared" ca="1" si="8"/>
        <v>-197.40437533333341</v>
      </c>
      <c r="L39" s="101" t="s">
        <v>547</v>
      </c>
    </row>
    <row r="40" spans="1:12" ht="15" customHeight="1" outlineLevel="1" thickBot="1">
      <c r="A40" s="108">
        <v>6128</v>
      </c>
      <c r="B40" s="387" t="s">
        <v>115</v>
      </c>
      <c r="C40" s="387"/>
      <c r="D40" s="388"/>
      <c r="E40" s="105">
        <v>100</v>
      </c>
      <c r="F40" s="14">
        <f t="shared" si="0"/>
        <v>0.3</v>
      </c>
      <c r="G40" s="587"/>
      <c r="H40" s="106">
        <f t="shared" si="3"/>
        <v>29.126213592233007</v>
      </c>
      <c r="I40" s="106">
        <f t="shared" si="9"/>
        <v>30</v>
      </c>
      <c r="J40" s="106">
        <f t="shared" si="8"/>
        <v>30.900000000000002</v>
      </c>
      <c r="K40" s="106">
        <f t="shared" si="8"/>
        <v>31.827000000000002</v>
      </c>
      <c r="L40" s="103"/>
    </row>
    <row r="41" spans="1:12" ht="15" customHeight="1" thickBot="1">
      <c r="A41" s="573">
        <v>613</v>
      </c>
      <c r="B41" s="574" t="s">
        <v>116</v>
      </c>
      <c r="C41" s="575"/>
      <c r="D41" s="576"/>
      <c r="E41" s="612">
        <f>SUM(E43,E42,E46)</f>
        <v>600</v>
      </c>
      <c r="F41" s="14">
        <f t="shared" si="0"/>
        <v>0.3</v>
      </c>
      <c r="G41" s="577"/>
      <c r="H41" s="612">
        <f>SUM(H43,H42,H46)</f>
        <v>174.75728155339806</v>
      </c>
      <c r="I41" s="612">
        <f>SUM(I43,I42,I46)</f>
        <v>180</v>
      </c>
      <c r="J41" s="612">
        <f>SUM(J43,J42,J46)</f>
        <v>185.4</v>
      </c>
      <c r="K41" s="612">
        <f>SUM(K43,K42,K46)</f>
        <v>190.96200000000002</v>
      </c>
      <c r="L41" s="101"/>
    </row>
    <row r="42" spans="1:12" ht="15" customHeight="1" outlineLevel="1" thickBot="1">
      <c r="A42" s="104">
        <v>6130</v>
      </c>
      <c r="B42" s="389" t="s">
        <v>117</v>
      </c>
      <c r="C42" s="389"/>
      <c r="D42" s="390"/>
      <c r="E42" s="105">
        <v>100</v>
      </c>
      <c r="F42" s="14">
        <f t="shared" si="0"/>
        <v>0.3</v>
      </c>
      <c r="G42" s="588"/>
      <c r="H42" s="106">
        <f t="shared" si="3"/>
        <v>29.126213592233007</v>
      </c>
      <c r="I42" s="106">
        <f>F42*E42</f>
        <v>30</v>
      </c>
      <c r="J42" s="106">
        <f>I42*(1+J$15)</f>
        <v>30.900000000000002</v>
      </c>
      <c r="K42" s="106">
        <f>J42*(1+K$15)</f>
        <v>31.827000000000002</v>
      </c>
      <c r="L42" s="103"/>
    </row>
    <row r="43" spans="1:12" ht="15" customHeight="1" outlineLevel="1" thickBot="1">
      <c r="B43" s="582" t="s">
        <v>118</v>
      </c>
      <c r="C43" s="583"/>
      <c r="D43" s="583"/>
      <c r="E43" s="614">
        <f>SUM(E44:E45)</f>
        <v>200</v>
      </c>
      <c r="F43" s="14">
        <f t="shared" si="0"/>
        <v>0.3</v>
      </c>
      <c r="G43" s="584"/>
      <c r="H43" s="614">
        <f>SUM(H44:H45)</f>
        <v>58.252427184466015</v>
      </c>
      <c r="I43" s="614">
        <f>SUM(I44:I45)</f>
        <v>60</v>
      </c>
      <c r="J43" s="614">
        <f>SUM(J44:J45)</f>
        <v>61.800000000000004</v>
      </c>
      <c r="K43" s="614">
        <f>SUM(K44:K45)</f>
        <v>63.654000000000003</v>
      </c>
      <c r="L43" s="103"/>
    </row>
    <row r="44" spans="1:12" ht="15" customHeight="1" outlineLevel="1" thickBot="1">
      <c r="A44" s="104">
        <v>61320</v>
      </c>
      <c r="B44" s="385" t="s">
        <v>119</v>
      </c>
      <c r="C44" s="385"/>
      <c r="D44" s="386"/>
      <c r="E44" s="105">
        <v>100</v>
      </c>
      <c r="F44" s="14">
        <f t="shared" si="0"/>
        <v>0.3</v>
      </c>
      <c r="G44" s="589"/>
      <c r="H44" s="106">
        <f t="shared" si="3"/>
        <v>29.126213592233007</v>
      </c>
      <c r="I44" s="106">
        <f>F44*E44</f>
        <v>30</v>
      </c>
      <c r="J44" s="106">
        <f>I44*(1+J$15)</f>
        <v>30.900000000000002</v>
      </c>
      <c r="K44" s="106">
        <f>J44*(1+K$15)</f>
        <v>31.827000000000002</v>
      </c>
      <c r="L44" s="103"/>
    </row>
    <row r="45" spans="1:12" ht="15" customHeight="1" outlineLevel="1" thickBot="1">
      <c r="A45" s="104">
        <v>61325</v>
      </c>
      <c r="B45" s="385" t="s">
        <v>120</v>
      </c>
      <c r="C45" s="385"/>
      <c r="D45" s="386"/>
      <c r="E45" s="105">
        <v>100</v>
      </c>
      <c r="F45" s="14">
        <f t="shared" si="0"/>
        <v>0.3</v>
      </c>
      <c r="G45" s="589"/>
      <c r="H45" s="106">
        <f t="shared" si="3"/>
        <v>29.126213592233007</v>
      </c>
      <c r="I45" s="106">
        <f>F45*E45</f>
        <v>30</v>
      </c>
      <c r="J45" s="106">
        <f>I45*(1+J$15)</f>
        <v>30.900000000000002</v>
      </c>
      <c r="K45" s="106">
        <f>J45*(1+K$15)</f>
        <v>31.827000000000002</v>
      </c>
      <c r="L45" s="103"/>
    </row>
    <row r="46" spans="1:12" ht="15" customHeight="1" outlineLevel="1" thickBot="1">
      <c r="B46" s="590" t="s">
        <v>121</v>
      </c>
      <c r="C46" s="590"/>
      <c r="D46" s="582"/>
      <c r="E46" s="614">
        <f>SUM(E47:E49)</f>
        <v>300</v>
      </c>
      <c r="F46" s="14">
        <f t="shared" si="0"/>
        <v>0.3</v>
      </c>
      <c r="G46" s="584"/>
      <c r="H46" s="614">
        <f>SUM(H47:H49)</f>
        <v>87.378640776699029</v>
      </c>
      <c r="I46" s="614">
        <f>SUM(I47:I49)</f>
        <v>90</v>
      </c>
      <c r="J46" s="614">
        <f>SUM(J47:J49)</f>
        <v>92.7</v>
      </c>
      <c r="K46" s="614">
        <f>SUM(K47:K49)</f>
        <v>95.481000000000009</v>
      </c>
      <c r="L46" s="103"/>
    </row>
    <row r="47" spans="1:12" ht="15" customHeight="1" outlineLevel="1" thickBot="1">
      <c r="A47" s="104">
        <v>61330</v>
      </c>
      <c r="B47" s="385" t="s">
        <v>122</v>
      </c>
      <c r="C47" s="385"/>
      <c r="D47" s="386"/>
      <c r="E47" s="105">
        <v>100</v>
      </c>
      <c r="F47" s="14">
        <f t="shared" si="0"/>
        <v>0.3</v>
      </c>
      <c r="G47" s="589"/>
      <c r="H47" s="106">
        <f t="shared" si="3"/>
        <v>29.126213592233007</v>
      </c>
      <c r="I47" s="106">
        <f>F47*E47</f>
        <v>30</v>
      </c>
      <c r="J47" s="106">
        <f>I47*(1+J$15)</f>
        <v>30.900000000000002</v>
      </c>
      <c r="K47" s="106">
        <f t="shared" ref="K47:K49" si="10">J47*(1+K$15)</f>
        <v>31.827000000000002</v>
      </c>
      <c r="L47" s="103"/>
    </row>
    <row r="48" spans="1:12" ht="15" customHeight="1" outlineLevel="1" thickBot="1">
      <c r="A48" s="108">
        <v>61331</v>
      </c>
      <c r="B48" s="374" t="s">
        <v>123</v>
      </c>
      <c r="C48" s="374"/>
      <c r="D48" s="375"/>
      <c r="E48" s="105">
        <v>100</v>
      </c>
      <c r="F48" s="14">
        <f t="shared" si="0"/>
        <v>0.3</v>
      </c>
      <c r="G48" s="581"/>
      <c r="H48" s="106">
        <f t="shared" si="3"/>
        <v>29.126213592233007</v>
      </c>
      <c r="I48" s="106">
        <f>F48*E48</f>
        <v>30</v>
      </c>
      <c r="J48" s="106">
        <f>I48*(1+J$15)</f>
        <v>30.900000000000002</v>
      </c>
      <c r="K48" s="106">
        <f t="shared" si="10"/>
        <v>31.827000000000002</v>
      </c>
      <c r="L48" s="103"/>
    </row>
    <row r="49" spans="1:12" ht="15" customHeight="1" outlineLevel="1" thickBot="1">
      <c r="A49" s="108">
        <v>61336</v>
      </c>
      <c r="B49" s="374" t="s">
        <v>124</v>
      </c>
      <c r="C49" s="374"/>
      <c r="D49" s="375"/>
      <c r="E49" s="105">
        <v>100</v>
      </c>
      <c r="F49" s="14">
        <f t="shared" si="0"/>
        <v>0.3</v>
      </c>
      <c r="G49" s="581"/>
      <c r="H49" s="106">
        <f t="shared" si="3"/>
        <v>29.126213592233007</v>
      </c>
      <c r="I49" s="106">
        <f>F49*E49</f>
        <v>30</v>
      </c>
      <c r="J49" s="106">
        <f>I49*(1+J$15)</f>
        <v>30.900000000000002</v>
      </c>
      <c r="K49" s="106">
        <f t="shared" si="10"/>
        <v>31.827000000000002</v>
      </c>
      <c r="L49" s="103"/>
    </row>
    <row r="50" spans="1:12" ht="15" customHeight="1" thickBot="1">
      <c r="A50" s="573">
        <v>614</v>
      </c>
      <c r="B50" s="574" t="s">
        <v>125</v>
      </c>
      <c r="C50" s="575"/>
      <c r="D50" s="576"/>
      <c r="E50" s="612">
        <f>SUM(E51:E55)</f>
        <v>500</v>
      </c>
      <c r="F50" s="14">
        <f t="shared" si="0"/>
        <v>0.3</v>
      </c>
      <c r="G50" s="577"/>
      <c r="H50" s="612">
        <f>SUM(H51:H55)</f>
        <v>145.63106796116503</v>
      </c>
      <c r="I50" s="612">
        <f>SUM(I51:I55)</f>
        <v>150</v>
      </c>
      <c r="J50" s="612">
        <f>SUM(J51:J55)</f>
        <v>154.5</v>
      </c>
      <c r="K50" s="612">
        <f>SUM(K51:K55)</f>
        <v>159.13500000000002</v>
      </c>
      <c r="L50" s="101"/>
    </row>
    <row r="51" spans="1:12" ht="15" customHeight="1" outlineLevel="1" thickBot="1">
      <c r="A51" s="108">
        <v>6140</v>
      </c>
      <c r="B51" s="374" t="s">
        <v>126</v>
      </c>
      <c r="C51" s="374"/>
      <c r="D51" s="375"/>
      <c r="E51" s="105">
        <v>100</v>
      </c>
      <c r="F51" s="14">
        <f t="shared" si="0"/>
        <v>0.3</v>
      </c>
      <c r="G51" s="581"/>
      <c r="H51" s="106">
        <f t="shared" si="3"/>
        <v>29.126213592233007</v>
      </c>
      <c r="I51" s="106">
        <f t="shared" ref="I51:I56" si="11">F51*E51</f>
        <v>30</v>
      </c>
      <c r="J51" s="106">
        <f t="shared" ref="J51:J56" si="12">I51*(1+J$15)</f>
        <v>30.900000000000002</v>
      </c>
      <c r="K51" s="106">
        <f t="shared" ref="K51:K56" si="13">J51*(1+K$15)</f>
        <v>31.827000000000002</v>
      </c>
      <c r="L51" s="103"/>
    </row>
    <row r="52" spans="1:12" ht="15" customHeight="1" outlineLevel="1" thickBot="1">
      <c r="A52" s="110">
        <v>6144</v>
      </c>
      <c r="B52" s="375" t="s">
        <v>104</v>
      </c>
      <c r="C52" s="383"/>
      <c r="D52" s="383"/>
      <c r="E52" s="105">
        <v>100</v>
      </c>
      <c r="F52" s="14">
        <f t="shared" si="0"/>
        <v>0.3</v>
      </c>
      <c r="G52" s="581"/>
      <c r="H52" s="106">
        <f t="shared" si="3"/>
        <v>29.126213592233007</v>
      </c>
      <c r="I52" s="106">
        <f t="shared" si="11"/>
        <v>30</v>
      </c>
      <c r="J52" s="106">
        <f t="shared" si="12"/>
        <v>30.900000000000002</v>
      </c>
      <c r="K52" s="106">
        <f t="shared" si="13"/>
        <v>31.827000000000002</v>
      </c>
      <c r="L52" s="103"/>
    </row>
    <row r="53" spans="1:12" ht="15" customHeight="1" outlineLevel="1" thickBot="1">
      <c r="A53" s="108">
        <v>6146</v>
      </c>
      <c r="B53" s="374" t="s">
        <v>127</v>
      </c>
      <c r="C53" s="374"/>
      <c r="D53" s="375"/>
      <c r="E53" s="105">
        <v>100</v>
      </c>
      <c r="F53" s="14">
        <f t="shared" si="0"/>
        <v>0.3</v>
      </c>
      <c r="G53" s="581"/>
      <c r="H53" s="106">
        <f t="shared" si="3"/>
        <v>29.126213592233007</v>
      </c>
      <c r="I53" s="106">
        <f t="shared" si="11"/>
        <v>30</v>
      </c>
      <c r="J53" s="106">
        <f t="shared" si="12"/>
        <v>30.900000000000002</v>
      </c>
      <c r="K53" s="106">
        <f t="shared" si="13"/>
        <v>31.827000000000002</v>
      </c>
      <c r="L53" s="103"/>
    </row>
    <row r="54" spans="1:12" ht="15" customHeight="1" outlineLevel="1" thickBot="1">
      <c r="A54" s="108">
        <v>6147</v>
      </c>
      <c r="B54" s="374" t="s">
        <v>128</v>
      </c>
      <c r="C54" s="374"/>
      <c r="D54" s="375"/>
      <c r="E54" s="105">
        <v>100</v>
      </c>
      <c r="F54" s="14">
        <f t="shared" si="0"/>
        <v>0.3</v>
      </c>
      <c r="G54" s="581"/>
      <c r="H54" s="106">
        <f t="shared" si="3"/>
        <v>29.126213592233007</v>
      </c>
      <c r="I54" s="106">
        <f t="shared" si="11"/>
        <v>30</v>
      </c>
      <c r="J54" s="106">
        <f t="shared" si="12"/>
        <v>30.900000000000002</v>
      </c>
      <c r="K54" s="106">
        <f t="shared" si="13"/>
        <v>31.827000000000002</v>
      </c>
      <c r="L54" s="103"/>
    </row>
    <row r="55" spans="1:12" ht="15" customHeight="1" outlineLevel="1" thickBot="1">
      <c r="A55" s="108">
        <v>6148</v>
      </c>
      <c r="B55" s="374" t="s">
        <v>129</v>
      </c>
      <c r="C55" s="374"/>
      <c r="D55" s="375"/>
      <c r="E55" s="105">
        <v>100</v>
      </c>
      <c r="F55" s="14">
        <f t="shared" si="0"/>
        <v>0.3</v>
      </c>
      <c r="G55" s="581"/>
      <c r="H55" s="106">
        <f t="shared" si="3"/>
        <v>29.126213592233007</v>
      </c>
      <c r="I55" s="106">
        <f t="shared" si="11"/>
        <v>30</v>
      </c>
      <c r="J55" s="106">
        <f t="shared" si="12"/>
        <v>30.900000000000002</v>
      </c>
      <c r="K55" s="106">
        <f t="shared" si="13"/>
        <v>31.827000000000002</v>
      </c>
      <c r="L55" s="103"/>
    </row>
    <row r="56" spans="1:12" ht="15" customHeight="1" thickBot="1">
      <c r="A56" s="573">
        <v>615</v>
      </c>
      <c r="B56" s="574" t="s">
        <v>130</v>
      </c>
      <c r="C56" s="575"/>
      <c r="D56" s="576"/>
      <c r="E56" s="105">
        <v>100</v>
      </c>
      <c r="F56" s="14">
        <f t="shared" si="0"/>
        <v>0.3</v>
      </c>
      <c r="G56" s="591"/>
      <c r="H56" s="106">
        <f t="shared" si="3"/>
        <v>29.126213592233007</v>
      </c>
      <c r="I56" s="106">
        <f t="shared" si="11"/>
        <v>30</v>
      </c>
      <c r="J56" s="106">
        <f t="shared" si="12"/>
        <v>30.900000000000002</v>
      </c>
      <c r="K56" s="106">
        <f t="shared" si="13"/>
        <v>31.827000000000002</v>
      </c>
      <c r="L56" s="103"/>
    </row>
    <row r="57" spans="1:12" ht="15" customHeight="1" thickBot="1">
      <c r="A57" s="573">
        <v>616</v>
      </c>
      <c r="B57" s="574" t="s">
        <v>131</v>
      </c>
      <c r="C57" s="575"/>
      <c r="D57" s="576"/>
      <c r="E57" s="612">
        <f>SUM(E58:E64,E65)</f>
        <v>800</v>
      </c>
      <c r="F57" s="14">
        <f t="shared" si="0"/>
        <v>0.3</v>
      </c>
      <c r="G57" s="577"/>
      <c r="H57" s="612">
        <f>SUM(H58:H64,H65)</f>
        <v>233.00970873786403</v>
      </c>
      <c r="I57" s="612">
        <f>SUM(I58:I64,I65)</f>
        <v>240</v>
      </c>
      <c r="J57" s="612">
        <f>SUM(J58:J64,J65)</f>
        <v>247.20000000000002</v>
      </c>
      <c r="K57" s="612">
        <f>SUM(K58:K64,K65)</f>
        <v>254.61600000000001</v>
      </c>
      <c r="L57" s="101"/>
    </row>
    <row r="58" spans="1:12" ht="15" customHeight="1" outlineLevel="1" thickBot="1">
      <c r="A58" s="110">
        <v>6160</v>
      </c>
      <c r="B58" s="375" t="s">
        <v>132</v>
      </c>
      <c r="C58" s="383"/>
      <c r="D58" s="383"/>
      <c r="E58" s="105">
        <v>100</v>
      </c>
      <c r="F58" s="14">
        <f t="shared" si="0"/>
        <v>0.3</v>
      </c>
      <c r="G58" s="581"/>
      <c r="H58" s="106">
        <f t="shared" ref="H58:H69" si="14">I58/(1+H$15)</f>
        <v>29.126213592233007</v>
      </c>
      <c r="I58" s="106">
        <f>F58*E58</f>
        <v>30</v>
      </c>
      <c r="J58" s="106">
        <f>I58*(1+J$15)</f>
        <v>30.900000000000002</v>
      </c>
      <c r="K58" s="106">
        <f>J58*(1+K$15)</f>
        <v>31.827000000000002</v>
      </c>
      <c r="L58" s="103"/>
    </row>
    <row r="59" spans="1:12" ht="15" customHeight="1" outlineLevel="1" thickBot="1">
      <c r="A59" s="108">
        <v>6162</v>
      </c>
      <c r="B59" s="374" t="s">
        <v>133</v>
      </c>
      <c r="C59" s="374"/>
      <c r="D59" s="375"/>
      <c r="E59" s="105">
        <v>100</v>
      </c>
      <c r="F59" s="14">
        <f t="shared" si="0"/>
        <v>0.3</v>
      </c>
      <c r="G59" s="581"/>
      <c r="H59" s="106">
        <f t="shared" si="14"/>
        <v>29.126213592233007</v>
      </c>
      <c r="I59" s="106">
        <f>F59*E59</f>
        <v>30</v>
      </c>
      <c r="J59" s="106">
        <f t="shared" ref="J59:J65" si="15">I59*(1+J$15)</f>
        <v>30.900000000000002</v>
      </c>
      <c r="K59" s="106">
        <f t="shared" ref="K59:K65" si="16">J59*(1+K$15)</f>
        <v>31.827000000000002</v>
      </c>
      <c r="L59" s="103"/>
    </row>
    <row r="60" spans="1:12" ht="15" customHeight="1" outlineLevel="1" thickBot="1">
      <c r="A60" s="108">
        <v>6163</v>
      </c>
      <c r="B60" s="375" t="s">
        <v>134</v>
      </c>
      <c r="C60" s="383"/>
      <c r="D60" s="383"/>
      <c r="E60" s="105">
        <v>100</v>
      </c>
      <c r="F60" s="14">
        <f t="shared" si="0"/>
        <v>0.3</v>
      </c>
      <c r="G60" s="581"/>
      <c r="H60" s="106">
        <f t="shared" si="14"/>
        <v>29.126213592233007</v>
      </c>
      <c r="I60" s="106">
        <f>F60*E60</f>
        <v>30</v>
      </c>
      <c r="J60" s="106">
        <f t="shared" si="15"/>
        <v>30.900000000000002</v>
      </c>
      <c r="K60" s="106">
        <f t="shared" si="16"/>
        <v>31.827000000000002</v>
      </c>
      <c r="L60" s="103"/>
    </row>
    <row r="61" spans="1:12" ht="15" customHeight="1" outlineLevel="1" thickBot="1">
      <c r="A61" s="108">
        <v>61621</v>
      </c>
      <c r="B61" s="374" t="s">
        <v>49</v>
      </c>
      <c r="C61" s="374"/>
      <c r="D61" s="375"/>
      <c r="E61" s="105">
        <v>100</v>
      </c>
      <c r="F61" s="14">
        <f t="shared" si="0"/>
        <v>0.3</v>
      </c>
      <c r="G61" s="581"/>
      <c r="H61" s="106">
        <f t="shared" si="14"/>
        <v>29.126213592233007</v>
      </c>
      <c r="I61" s="106">
        <f t="shared" ref="I61:I69" si="17">F61*E61</f>
        <v>30</v>
      </c>
      <c r="J61" s="106">
        <f t="shared" si="15"/>
        <v>30.900000000000002</v>
      </c>
      <c r="K61" s="106">
        <f t="shared" si="16"/>
        <v>31.827000000000002</v>
      </c>
      <c r="L61" s="103"/>
    </row>
    <row r="62" spans="1:12" ht="15" customHeight="1" outlineLevel="1" thickBot="1">
      <c r="A62" s="108">
        <v>61650</v>
      </c>
      <c r="B62" s="374" t="s">
        <v>135</v>
      </c>
      <c r="C62" s="374"/>
      <c r="D62" s="375"/>
      <c r="E62" s="105">
        <v>100</v>
      </c>
      <c r="F62" s="14">
        <f t="shared" si="0"/>
        <v>0.3</v>
      </c>
      <c r="G62" s="581"/>
      <c r="H62" s="106">
        <f t="shared" si="14"/>
        <v>29.126213592233007</v>
      </c>
      <c r="I62" s="106">
        <f t="shared" si="17"/>
        <v>30</v>
      </c>
      <c r="J62" s="106">
        <f t="shared" si="15"/>
        <v>30.900000000000002</v>
      </c>
      <c r="K62" s="106">
        <f t="shared" si="16"/>
        <v>31.827000000000002</v>
      </c>
      <c r="L62" s="103"/>
    </row>
    <row r="63" spans="1:12" ht="15" customHeight="1" outlineLevel="1" thickBot="1">
      <c r="A63" s="108">
        <v>61651</v>
      </c>
      <c r="B63" s="374" t="s">
        <v>136</v>
      </c>
      <c r="C63" s="374"/>
      <c r="D63" s="375"/>
      <c r="E63" s="105">
        <v>100</v>
      </c>
      <c r="F63" s="14">
        <f t="shared" si="0"/>
        <v>0.3</v>
      </c>
      <c r="G63" s="581"/>
      <c r="H63" s="106">
        <f t="shared" si="14"/>
        <v>29.126213592233007</v>
      </c>
      <c r="I63" s="106">
        <f t="shared" si="17"/>
        <v>30</v>
      </c>
      <c r="J63" s="106">
        <f t="shared" si="15"/>
        <v>30.900000000000002</v>
      </c>
      <c r="K63" s="106">
        <f t="shared" si="16"/>
        <v>31.827000000000002</v>
      </c>
      <c r="L63" s="103"/>
    </row>
    <row r="64" spans="1:12" ht="15" customHeight="1" outlineLevel="1" thickBot="1">
      <c r="A64" s="108">
        <v>61652</v>
      </c>
      <c r="B64" s="374" t="s">
        <v>137</v>
      </c>
      <c r="C64" s="374"/>
      <c r="D64" s="375"/>
      <c r="E64" s="105">
        <v>100</v>
      </c>
      <c r="F64" s="14">
        <f t="shared" si="0"/>
        <v>0.3</v>
      </c>
      <c r="G64" s="581"/>
      <c r="H64" s="106">
        <f t="shared" si="14"/>
        <v>29.126213592233007</v>
      </c>
      <c r="I64" s="106">
        <f t="shared" si="17"/>
        <v>30</v>
      </c>
      <c r="J64" s="106">
        <f t="shared" si="15"/>
        <v>30.900000000000002</v>
      </c>
      <c r="K64" s="106">
        <f t="shared" si="16"/>
        <v>31.827000000000002</v>
      </c>
      <c r="L64" s="103"/>
    </row>
    <row r="65" spans="1:12" ht="15" customHeight="1" outlineLevel="1" thickBot="1">
      <c r="A65" s="108">
        <v>61655</v>
      </c>
      <c r="B65" s="374" t="s">
        <v>138</v>
      </c>
      <c r="C65" s="374"/>
      <c r="D65" s="375"/>
      <c r="E65" s="105">
        <v>100</v>
      </c>
      <c r="F65" s="14">
        <f t="shared" si="0"/>
        <v>0.3</v>
      </c>
      <c r="G65" s="581"/>
      <c r="H65" s="106">
        <f t="shared" si="14"/>
        <v>29.126213592233007</v>
      </c>
      <c r="I65" s="106">
        <f t="shared" si="17"/>
        <v>30</v>
      </c>
      <c r="J65" s="106">
        <f t="shared" si="15"/>
        <v>30.900000000000002</v>
      </c>
      <c r="K65" s="106">
        <f t="shared" si="16"/>
        <v>31.827000000000002</v>
      </c>
      <c r="L65" s="103"/>
    </row>
    <row r="66" spans="1:12" ht="15" customHeight="1" thickBot="1">
      <c r="A66" s="573">
        <v>618</v>
      </c>
      <c r="B66" s="574" t="s">
        <v>139</v>
      </c>
      <c r="C66" s="575"/>
      <c r="D66" s="576"/>
      <c r="E66" s="612">
        <f>SUM(E67:E69)</f>
        <v>200</v>
      </c>
      <c r="F66" s="14">
        <f t="shared" si="0"/>
        <v>0.3</v>
      </c>
      <c r="G66" s="577"/>
      <c r="H66" s="612">
        <f>SUM(H67:H69)</f>
        <v>58.252427184466015</v>
      </c>
      <c r="I66" s="612">
        <f>SUM(I67:I69)</f>
        <v>60</v>
      </c>
      <c r="J66" s="612">
        <f>SUM(J67:J69)</f>
        <v>61.800000000000004</v>
      </c>
      <c r="K66" s="612">
        <f>SUM(K67:K69)</f>
        <v>63.654000000000003</v>
      </c>
      <c r="L66" s="101"/>
    </row>
    <row r="67" spans="1:12" ht="15" customHeight="1" outlineLevel="1" thickBot="1">
      <c r="A67" s="108">
        <v>6180</v>
      </c>
      <c r="B67" s="384" t="s">
        <v>140</v>
      </c>
      <c r="C67" s="374"/>
      <c r="D67" s="375"/>
      <c r="E67" s="592"/>
      <c r="F67" s="592"/>
      <c r="G67" s="581"/>
      <c r="H67" s="106">
        <f t="shared" si="14"/>
        <v>0</v>
      </c>
      <c r="I67" s="615">
        <f>'10. BESOIN RH mensuel'!C4+'10. BESOIN RH mensuel'!C5</f>
        <v>0</v>
      </c>
      <c r="J67" s="106">
        <f t="shared" ref="J67:K70" si="18">I67*(1+J$15)</f>
        <v>0</v>
      </c>
      <c r="K67" s="106">
        <f t="shared" si="18"/>
        <v>0</v>
      </c>
      <c r="L67" s="103"/>
    </row>
    <row r="68" spans="1:12" ht="15" customHeight="1" outlineLevel="1" thickBot="1">
      <c r="A68" s="110">
        <v>61812</v>
      </c>
      <c r="B68" s="375" t="s">
        <v>141</v>
      </c>
      <c r="C68" s="383"/>
      <c r="D68" s="383"/>
      <c r="E68" s="105">
        <v>100</v>
      </c>
      <c r="F68" s="14">
        <f t="shared" si="0"/>
        <v>0.3</v>
      </c>
      <c r="G68" s="581"/>
      <c r="H68" s="106">
        <f t="shared" si="14"/>
        <v>29.126213592233007</v>
      </c>
      <c r="I68" s="106">
        <f t="shared" si="17"/>
        <v>30</v>
      </c>
      <c r="J68" s="106">
        <f t="shared" si="18"/>
        <v>30.900000000000002</v>
      </c>
      <c r="K68" s="106">
        <f t="shared" si="18"/>
        <v>31.827000000000002</v>
      </c>
      <c r="L68" s="103"/>
    </row>
    <row r="69" spans="1:12" ht="15" customHeight="1" outlineLevel="1" thickBot="1">
      <c r="A69" s="110">
        <v>61814</v>
      </c>
      <c r="B69" s="375" t="s">
        <v>142</v>
      </c>
      <c r="C69" s="383"/>
      <c r="D69" s="383"/>
      <c r="E69" s="105">
        <v>100</v>
      </c>
      <c r="F69" s="14">
        <f t="shared" si="0"/>
        <v>0.3</v>
      </c>
      <c r="G69" s="581"/>
      <c r="H69" s="106">
        <f t="shared" si="14"/>
        <v>29.126213592233007</v>
      </c>
      <c r="I69" s="106">
        <f t="shared" si="17"/>
        <v>30</v>
      </c>
      <c r="J69" s="106">
        <f t="shared" si="18"/>
        <v>30.900000000000002</v>
      </c>
      <c r="K69" s="106">
        <f t="shared" si="18"/>
        <v>31.827000000000002</v>
      </c>
      <c r="L69" s="103"/>
    </row>
    <row r="70" spans="1:12" ht="15" customHeight="1" thickBot="1">
      <c r="A70" s="573">
        <v>62</v>
      </c>
      <c r="B70" s="574" t="s">
        <v>143</v>
      </c>
      <c r="C70" s="575"/>
      <c r="D70" s="576"/>
      <c r="E70" s="592"/>
      <c r="F70" s="593">
        <f ca="1">'10. BESOIN RH mensuel'!R36</f>
        <v>0.21997031360343158</v>
      </c>
      <c r="G70" s="577"/>
      <c r="H70" s="612">
        <f ca="1">I70/(1+H$15)</f>
        <v>8115.4096280877675</v>
      </c>
      <c r="I70" s="612">
        <f ca="1">'10. BESOIN RH mensuel'!C10*F70</f>
        <v>8358.8719169304004</v>
      </c>
      <c r="J70" s="612">
        <f t="shared" ca="1" si="18"/>
        <v>8609.6380744383132</v>
      </c>
      <c r="K70" s="612">
        <f t="shared" ca="1" si="18"/>
        <v>8867.9272166714636</v>
      </c>
      <c r="L70" s="101" t="s">
        <v>515</v>
      </c>
    </row>
    <row r="71" spans="1:12" ht="15" customHeight="1" thickBot="1">
      <c r="A71" s="573">
        <v>63</v>
      </c>
      <c r="B71" s="574" t="s">
        <v>144</v>
      </c>
      <c r="C71" s="575"/>
      <c r="D71" s="576"/>
      <c r="E71" s="592"/>
      <c r="F71" s="594"/>
      <c r="G71" s="577"/>
      <c r="H71" s="612">
        <f>'2. INVEST &amp; AMORT'!N42</f>
        <v>12390</v>
      </c>
      <c r="I71" s="612">
        <f>'2. INVEST &amp; AMORT'!O42</f>
        <v>10130</v>
      </c>
      <c r="J71" s="612">
        <f>'2. INVEST &amp; AMORT'!P42</f>
        <v>10130</v>
      </c>
      <c r="K71" s="612">
        <f>'2. INVEST &amp; AMORT'!Q42</f>
        <v>10130</v>
      </c>
      <c r="L71" s="101" t="s">
        <v>509</v>
      </c>
    </row>
    <row r="72" spans="1:12" ht="15" customHeight="1" thickBot="1">
      <c r="A72" s="573">
        <v>64</v>
      </c>
      <c r="B72" s="574" t="s">
        <v>145</v>
      </c>
      <c r="C72" s="575"/>
      <c r="D72" s="576"/>
      <c r="E72" s="612">
        <f t="shared" ref="E72" si="19">SUM(E73:E76)</f>
        <v>40</v>
      </c>
      <c r="F72" s="14">
        <f t="shared" si="0"/>
        <v>0.3</v>
      </c>
      <c r="G72" s="577"/>
      <c r="H72" s="612">
        <f>SUM(H73:H76)</f>
        <v>11.650485436893204</v>
      </c>
      <c r="I72" s="612">
        <f t="shared" ref="I72:K72" si="20">SUM(I73:I76)</f>
        <v>12</v>
      </c>
      <c r="J72" s="612">
        <f t="shared" si="20"/>
        <v>12.36</v>
      </c>
      <c r="K72" s="612">
        <f t="shared" si="20"/>
        <v>12.7308</v>
      </c>
      <c r="L72" s="101"/>
    </row>
    <row r="73" spans="1:12" ht="15" customHeight="1" outlineLevel="1" thickBot="1">
      <c r="A73" s="110">
        <v>6400</v>
      </c>
      <c r="B73" s="375" t="s">
        <v>146</v>
      </c>
      <c r="C73" s="383"/>
      <c r="D73" s="383"/>
      <c r="E73" s="105">
        <v>10</v>
      </c>
      <c r="F73" s="14">
        <f t="shared" si="0"/>
        <v>0.3</v>
      </c>
      <c r="G73" s="581"/>
      <c r="H73" s="106">
        <f t="shared" ref="H73:H82" si="21">I73/(1+H$15)</f>
        <v>2.912621359223301</v>
      </c>
      <c r="I73" s="106">
        <f t="shared" ref="I73:I76" si="22">F73*E73</f>
        <v>3</v>
      </c>
      <c r="J73" s="106">
        <f t="shared" ref="J73:K76" si="23">I73*(1+J$15)</f>
        <v>3.09</v>
      </c>
      <c r="K73" s="106">
        <f t="shared" si="23"/>
        <v>3.1827000000000001</v>
      </c>
      <c r="L73" s="103"/>
    </row>
    <row r="74" spans="1:12" ht="15" customHeight="1" outlineLevel="1" thickBot="1">
      <c r="A74" s="108">
        <v>6402</v>
      </c>
      <c r="B74" s="374" t="s">
        <v>147</v>
      </c>
      <c r="C74" s="374"/>
      <c r="D74" s="375"/>
      <c r="E74" s="105">
        <v>10</v>
      </c>
      <c r="F74" s="14">
        <f t="shared" si="0"/>
        <v>0.3</v>
      </c>
      <c r="G74" s="581"/>
      <c r="H74" s="106">
        <f t="shared" si="21"/>
        <v>2.912621359223301</v>
      </c>
      <c r="I74" s="106">
        <f t="shared" si="22"/>
        <v>3</v>
      </c>
      <c r="J74" s="106">
        <f t="shared" si="23"/>
        <v>3.09</v>
      </c>
      <c r="K74" s="106">
        <f t="shared" si="23"/>
        <v>3.1827000000000001</v>
      </c>
      <c r="L74" s="103"/>
    </row>
    <row r="75" spans="1:12" ht="15" customHeight="1" outlineLevel="1" thickBot="1">
      <c r="A75" s="108">
        <v>6404</v>
      </c>
      <c r="B75" s="374" t="s">
        <v>148</v>
      </c>
      <c r="C75" s="374"/>
      <c r="D75" s="375"/>
      <c r="E75" s="105">
        <v>10</v>
      </c>
      <c r="F75" s="14">
        <f t="shared" si="0"/>
        <v>0.3</v>
      </c>
      <c r="G75" s="581"/>
      <c r="H75" s="106">
        <f t="shared" si="21"/>
        <v>2.912621359223301</v>
      </c>
      <c r="I75" s="106">
        <f t="shared" si="22"/>
        <v>3</v>
      </c>
      <c r="J75" s="106">
        <f t="shared" si="23"/>
        <v>3.09</v>
      </c>
      <c r="K75" s="106">
        <f t="shared" si="23"/>
        <v>3.1827000000000001</v>
      </c>
      <c r="L75" s="103"/>
    </row>
    <row r="76" spans="1:12" ht="15" customHeight="1" outlineLevel="1" thickBot="1">
      <c r="A76" s="110"/>
      <c r="B76" s="374" t="s">
        <v>149</v>
      </c>
      <c r="C76" s="374"/>
      <c r="D76" s="375"/>
      <c r="E76" s="105">
        <v>10</v>
      </c>
      <c r="F76" s="14">
        <f t="shared" si="0"/>
        <v>0.3</v>
      </c>
      <c r="G76" s="581"/>
      <c r="H76" s="106">
        <f t="shared" si="21"/>
        <v>2.912621359223301</v>
      </c>
      <c r="I76" s="106">
        <f t="shared" si="22"/>
        <v>3</v>
      </c>
      <c r="J76" s="106">
        <f t="shared" si="23"/>
        <v>3.09</v>
      </c>
      <c r="K76" s="106">
        <f t="shared" si="23"/>
        <v>3.1827000000000001</v>
      </c>
      <c r="L76" s="103"/>
    </row>
    <row r="77" spans="1:12" ht="15" customHeight="1" thickBot="1">
      <c r="A77" s="573">
        <v>65</v>
      </c>
      <c r="B77" s="574" t="s">
        <v>150</v>
      </c>
      <c r="C77" s="575"/>
      <c r="D77" s="576"/>
      <c r="E77" s="612">
        <f>SUM(E78:E80)</f>
        <v>30</v>
      </c>
      <c r="F77" s="14">
        <f t="shared" si="0"/>
        <v>0.3</v>
      </c>
      <c r="G77" s="577"/>
      <c r="H77" s="612">
        <f>SUM(H78:H80)</f>
        <v>8.7378640776699026</v>
      </c>
      <c r="I77" s="612">
        <f>SUM(I78:I80)</f>
        <v>9</v>
      </c>
      <c r="J77" s="612">
        <f>SUM(J78:J80)</f>
        <v>9.27</v>
      </c>
      <c r="K77" s="612">
        <f>SUM(K78:K80)</f>
        <v>9.5480999999999998</v>
      </c>
      <c r="L77" s="101"/>
    </row>
    <row r="78" spans="1:12" ht="15" customHeight="1" outlineLevel="1" thickBot="1">
      <c r="A78" s="111">
        <v>6500</v>
      </c>
      <c r="B78" s="374" t="s">
        <v>151</v>
      </c>
      <c r="C78" s="374"/>
      <c r="D78" s="375"/>
      <c r="E78" s="105">
        <v>10</v>
      </c>
      <c r="F78" s="14">
        <f t="shared" si="0"/>
        <v>0.3</v>
      </c>
      <c r="G78" s="581"/>
      <c r="H78" s="106">
        <f t="shared" si="21"/>
        <v>2.912621359223301</v>
      </c>
      <c r="I78" s="106">
        <f>F78*E78</f>
        <v>3</v>
      </c>
      <c r="J78" s="106">
        <f t="shared" ref="J78:K80" si="24">I78*(1+J$15)</f>
        <v>3.09</v>
      </c>
      <c r="K78" s="106">
        <f t="shared" si="24"/>
        <v>3.1827000000000001</v>
      </c>
      <c r="L78" s="103"/>
    </row>
    <row r="79" spans="1:12" ht="15" customHeight="1" outlineLevel="1" thickBot="1">
      <c r="A79" s="111">
        <v>657</v>
      </c>
      <c r="B79" s="374" t="s">
        <v>152</v>
      </c>
      <c r="C79" s="374"/>
      <c r="D79" s="375"/>
      <c r="E79" s="105">
        <v>10</v>
      </c>
      <c r="F79" s="14">
        <f t="shared" si="0"/>
        <v>0.3</v>
      </c>
      <c r="G79" s="581"/>
      <c r="H79" s="106">
        <f t="shared" si="21"/>
        <v>2.912621359223301</v>
      </c>
      <c r="I79" s="106">
        <f t="shared" ref="I79:I80" si="25">F79*E79</f>
        <v>3</v>
      </c>
      <c r="J79" s="106">
        <f t="shared" si="24"/>
        <v>3.09</v>
      </c>
      <c r="K79" s="106">
        <f t="shared" si="24"/>
        <v>3.1827000000000001</v>
      </c>
      <c r="L79" s="103"/>
    </row>
    <row r="80" spans="1:12" ht="15" customHeight="1" outlineLevel="1" thickBot="1">
      <c r="A80" s="112">
        <v>658</v>
      </c>
      <c r="B80" s="376" t="s">
        <v>153</v>
      </c>
      <c r="C80" s="377"/>
      <c r="D80" s="377"/>
      <c r="E80" s="105">
        <v>10</v>
      </c>
      <c r="F80" s="14">
        <f t="shared" si="0"/>
        <v>0.3</v>
      </c>
      <c r="G80" s="587"/>
      <c r="H80" s="106">
        <f t="shared" si="21"/>
        <v>2.912621359223301</v>
      </c>
      <c r="I80" s="106">
        <f t="shared" si="25"/>
        <v>3</v>
      </c>
      <c r="J80" s="106">
        <f t="shared" si="24"/>
        <v>3.09</v>
      </c>
      <c r="K80" s="106">
        <f t="shared" si="24"/>
        <v>3.1827000000000001</v>
      </c>
      <c r="L80" s="103"/>
    </row>
    <row r="81" spans="1:12" ht="15" customHeight="1" thickBot="1">
      <c r="A81" s="595"/>
      <c r="B81" s="574" t="s">
        <v>154</v>
      </c>
      <c r="C81" s="575"/>
      <c r="D81" s="576"/>
      <c r="E81" s="612">
        <f>SUM(E82:E90)</f>
        <v>1000</v>
      </c>
      <c r="F81" s="14">
        <f t="shared" si="0"/>
        <v>0.3</v>
      </c>
      <c r="G81" s="577"/>
      <c r="H81" s="612">
        <f>SUM(H82:H90)</f>
        <v>1471.5224120256039</v>
      </c>
      <c r="I81" s="612">
        <f>SUM(I82:I90)</f>
        <v>1515.6680843863721</v>
      </c>
      <c r="J81" s="612">
        <f>SUM(J82:J90)</f>
        <v>1561.1381269179633</v>
      </c>
      <c r="K81" s="612">
        <f>SUM(K82:K90)</f>
        <v>1607.9722707255023</v>
      </c>
      <c r="L81" s="101"/>
    </row>
    <row r="82" spans="1:12" ht="15" customHeight="1" outlineLevel="1" thickBot="1">
      <c r="A82" s="113"/>
      <c r="B82" s="378" t="s">
        <v>155</v>
      </c>
      <c r="C82" s="379"/>
      <c r="D82" s="380"/>
      <c r="E82" s="105">
        <v>1000</v>
      </c>
      <c r="F82" s="14">
        <f t="shared" si="0"/>
        <v>0.3</v>
      </c>
      <c r="G82" s="596"/>
      <c r="H82" s="106">
        <f t="shared" si="21"/>
        <v>291.26213592233012</v>
      </c>
      <c r="I82" s="106">
        <f>F82*E82</f>
        <v>300</v>
      </c>
      <c r="J82" s="106">
        <f t="shared" ref="J82:J90" si="26">I82*(1+J$15)</f>
        <v>309</v>
      </c>
      <c r="K82" s="106">
        <f t="shared" ref="K82:K90" si="27">J82*(1+K$15)</f>
        <v>318.27</v>
      </c>
      <c r="L82" s="114"/>
    </row>
    <row r="83" spans="1:12" ht="15" outlineLevel="1" thickBot="1">
      <c r="A83" s="113"/>
      <c r="B83" s="115"/>
      <c r="C83" s="376" t="s">
        <v>655</v>
      </c>
      <c r="D83" s="381"/>
      <c r="E83" s="592"/>
      <c r="F83" s="594"/>
      <c r="G83" s="553"/>
      <c r="H83" s="106">
        <f t="shared" ref="H83" si="28">I83/(1+H$15)</f>
        <v>1180.2602761032738</v>
      </c>
      <c r="I83" s="106">
        <f>J83/(1+I$15)</f>
        <v>1215.6680843863721</v>
      </c>
      <c r="J83" s="615">
        <f>IF('Simulateur redevance BIO'!B31="non",'Simulateur redevance BIO'!C46,'Simulateur redevance BIO'!F46)</f>
        <v>1252.1381269179633</v>
      </c>
      <c r="K83" s="106">
        <f t="shared" si="27"/>
        <v>1289.7022707255023</v>
      </c>
      <c r="L83" s="101" t="s">
        <v>656</v>
      </c>
    </row>
    <row r="84" spans="1:12" ht="15" customHeight="1" outlineLevel="1" thickBot="1">
      <c r="A84" s="113"/>
      <c r="B84" s="371"/>
      <c r="C84" s="372"/>
      <c r="D84" s="373"/>
      <c r="E84" s="105">
        <f t="shared" ref="E84:E90" si="29">D84*(1+E$15)</f>
        <v>0</v>
      </c>
      <c r="F84" s="14">
        <f t="shared" si="0"/>
        <v>0.3</v>
      </c>
      <c r="G84" s="596"/>
      <c r="H84" s="106">
        <f t="shared" ref="H84" si="30">I84/(1+H$15)</f>
        <v>0</v>
      </c>
      <c r="I84" s="116">
        <v>0</v>
      </c>
      <c r="J84" s="106">
        <f t="shared" si="26"/>
        <v>0</v>
      </c>
      <c r="K84" s="106">
        <f t="shared" si="27"/>
        <v>0</v>
      </c>
      <c r="L84" s="103"/>
    </row>
    <row r="85" spans="1:12" ht="15" customHeight="1" outlineLevel="1" thickBot="1">
      <c r="A85" s="113"/>
      <c r="B85" s="371"/>
      <c r="C85" s="372"/>
      <c r="D85" s="373"/>
      <c r="E85" s="105">
        <f t="shared" si="29"/>
        <v>0</v>
      </c>
      <c r="F85" s="14">
        <f t="shared" si="0"/>
        <v>0.3</v>
      </c>
      <c r="G85" s="596"/>
      <c r="H85" s="106"/>
      <c r="I85" s="116">
        <v>0</v>
      </c>
      <c r="J85" s="106">
        <f t="shared" si="26"/>
        <v>0</v>
      </c>
      <c r="K85" s="106">
        <f t="shared" si="27"/>
        <v>0</v>
      </c>
      <c r="L85" s="103"/>
    </row>
    <row r="86" spans="1:12" ht="15" customHeight="1" outlineLevel="1" thickBot="1">
      <c r="A86" s="113"/>
      <c r="B86" s="371"/>
      <c r="C86" s="372"/>
      <c r="D86" s="373"/>
      <c r="E86" s="105">
        <f t="shared" si="29"/>
        <v>0</v>
      </c>
      <c r="F86" s="14">
        <f t="shared" ref="F86:F90" si="31">$E$11</f>
        <v>0.3</v>
      </c>
      <c r="G86" s="596"/>
      <c r="H86" s="106">
        <f t="shared" ref="H86" si="32">I86/(1+H$15)</f>
        <v>0</v>
      </c>
      <c r="I86" s="116">
        <v>0</v>
      </c>
      <c r="J86" s="106">
        <f t="shared" si="26"/>
        <v>0</v>
      </c>
      <c r="K86" s="106">
        <f t="shared" si="27"/>
        <v>0</v>
      </c>
      <c r="L86" s="103"/>
    </row>
    <row r="87" spans="1:12" ht="15" customHeight="1" outlineLevel="1" thickBot="1">
      <c r="A87" s="113"/>
      <c r="B87" s="371"/>
      <c r="C87" s="372"/>
      <c r="D87" s="373"/>
      <c r="E87" s="105">
        <f t="shared" si="29"/>
        <v>0</v>
      </c>
      <c r="F87" s="14">
        <f t="shared" si="31"/>
        <v>0.3</v>
      </c>
      <c r="G87" s="596"/>
      <c r="H87" s="106">
        <f t="shared" ref="H87" si="33">I87/(1+H$15)</f>
        <v>0</v>
      </c>
      <c r="I87" s="116">
        <v>0</v>
      </c>
      <c r="J87" s="106">
        <f t="shared" si="26"/>
        <v>0</v>
      </c>
      <c r="K87" s="106">
        <f t="shared" si="27"/>
        <v>0</v>
      </c>
      <c r="L87" s="103"/>
    </row>
    <row r="88" spans="1:12" ht="15" customHeight="1" outlineLevel="1" thickBot="1">
      <c r="A88" s="113"/>
      <c r="B88" s="371"/>
      <c r="C88" s="372"/>
      <c r="D88" s="373"/>
      <c r="E88" s="105">
        <f t="shared" si="29"/>
        <v>0</v>
      </c>
      <c r="F88" s="14">
        <f t="shared" si="31"/>
        <v>0.3</v>
      </c>
      <c r="G88" s="596"/>
      <c r="H88" s="106">
        <f t="shared" ref="H88" si="34">I88/(1+H$15)</f>
        <v>0</v>
      </c>
      <c r="I88" s="116">
        <v>0</v>
      </c>
      <c r="J88" s="106">
        <f t="shared" si="26"/>
        <v>0</v>
      </c>
      <c r="K88" s="106">
        <f t="shared" si="27"/>
        <v>0</v>
      </c>
      <c r="L88" s="103"/>
    </row>
    <row r="89" spans="1:12" ht="15" customHeight="1" outlineLevel="1" thickBot="1">
      <c r="A89" s="113"/>
      <c r="B89" s="371"/>
      <c r="C89" s="372"/>
      <c r="D89" s="373"/>
      <c r="E89" s="105">
        <f t="shared" si="29"/>
        <v>0</v>
      </c>
      <c r="F89" s="14">
        <f t="shared" si="31"/>
        <v>0.3</v>
      </c>
      <c r="G89" s="596"/>
      <c r="H89" s="106">
        <f t="shared" ref="H89" si="35">I89/(1+H$15)</f>
        <v>0</v>
      </c>
      <c r="I89" s="116">
        <v>0</v>
      </c>
      <c r="J89" s="106">
        <f t="shared" si="26"/>
        <v>0</v>
      </c>
      <c r="K89" s="106">
        <f t="shared" si="27"/>
        <v>0</v>
      </c>
      <c r="L89" s="103"/>
    </row>
    <row r="90" spans="1:12" ht="15" customHeight="1" outlineLevel="1" thickBot="1">
      <c r="A90" s="117"/>
      <c r="B90" s="371"/>
      <c r="C90" s="372"/>
      <c r="D90" s="373"/>
      <c r="E90" s="105">
        <f t="shared" si="29"/>
        <v>0</v>
      </c>
      <c r="F90" s="14">
        <f t="shared" si="31"/>
        <v>0.3</v>
      </c>
      <c r="G90" s="596"/>
      <c r="H90" s="106">
        <f t="shared" ref="H90" si="36">I90/(1+H$15)</f>
        <v>0</v>
      </c>
      <c r="I90" s="116">
        <v>0</v>
      </c>
      <c r="J90" s="106">
        <f t="shared" si="26"/>
        <v>0</v>
      </c>
      <c r="K90" s="106">
        <f t="shared" si="27"/>
        <v>0</v>
      </c>
      <c r="L90" s="103"/>
    </row>
    <row r="91" spans="1:12" ht="15" customHeight="1">
      <c r="A91" s="118"/>
      <c r="B91" s="119"/>
      <c r="C91" s="119"/>
      <c r="D91" s="119"/>
      <c r="E91" s="119"/>
      <c r="F91" s="119"/>
      <c r="G91" s="119"/>
      <c r="H91" s="119"/>
      <c r="I91" s="119"/>
      <c r="J91" s="119"/>
      <c r="K91" s="119"/>
      <c r="L91" s="119"/>
    </row>
    <row r="92" spans="1:12" ht="13.95" customHeight="1">
      <c r="B92" s="120"/>
      <c r="C92" s="120"/>
      <c r="D92" s="120"/>
      <c r="E92" s="120"/>
      <c r="F92" s="120"/>
      <c r="G92" s="120"/>
      <c r="H92" s="121"/>
      <c r="I92" s="121"/>
      <c r="J92" s="121"/>
      <c r="K92" s="121"/>
      <c r="L92" s="121"/>
    </row>
    <row r="93" spans="1:12" ht="13.95" customHeight="1" thickBot="1">
      <c r="B93" s="382" t="s">
        <v>156</v>
      </c>
      <c r="C93" s="382"/>
      <c r="D93" s="382"/>
      <c r="E93" s="122"/>
      <c r="F93" s="122"/>
      <c r="G93" s="122"/>
      <c r="H93" s="123"/>
      <c r="I93" s="123"/>
      <c r="J93" s="123"/>
      <c r="K93" s="123"/>
      <c r="L93" s="124"/>
    </row>
    <row r="94" spans="1:12" s="120" customFormat="1" ht="13.95" customHeight="1">
      <c r="B94" s="597"/>
      <c r="C94" s="598"/>
      <c r="D94" s="598"/>
      <c r="E94" s="598"/>
      <c r="F94" s="598"/>
      <c r="G94" s="598"/>
      <c r="H94" s="598"/>
      <c r="I94" s="598"/>
      <c r="J94" s="598"/>
      <c r="K94" s="598"/>
      <c r="L94" s="599"/>
    </row>
    <row r="95" spans="1:12" s="120" customFormat="1" ht="13.95" customHeight="1">
      <c r="B95" s="600"/>
      <c r="C95" s="601"/>
      <c r="D95" s="601"/>
      <c r="E95" s="601"/>
      <c r="F95" s="601"/>
      <c r="G95" s="601"/>
      <c r="H95" s="601"/>
      <c r="I95" s="601"/>
      <c r="J95" s="601"/>
      <c r="K95" s="601"/>
      <c r="L95" s="602"/>
    </row>
    <row r="96" spans="1:12" s="120" customFormat="1" ht="13.95" customHeight="1">
      <c r="B96" s="600"/>
      <c r="C96" s="601"/>
      <c r="D96" s="601"/>
      <c r="E96" s="601"/>
      <c r="F96" s="601"/>
      <c r="G96" s="601"/>
      <c r="H96" s="601"/>
      <c r="I96" s="601"/>
      <c r="J96" s="601"/>
      <c r="K96" s="601"/>
      <c r="L96" s="602"/>
    </row>
    <row r="97" spans="2:12" s="120" customFormat="1" ht="13.95" customHeight="1" thickBot="1">
      <c r="B97" s="603"/>
      <c r="C97" s="604"/>
      <c r="D97" s="604"/>
      <c r="E97" s="604"/>
      <c r="F97" s="604"/>
      <c r="G97" s="604"/>
      <c r="H97" s="604"/>
      <c r="I97" s="604"/>
      <c r="J97" s="604"/>
      <c r="K97" s="604"/>
      <c r="L97" s="605"/>
    </row>
    <row r="98" spans="2:12" ht="13.95" customHeight="1"/>
  </sheetData>
  <sheetProtection algorithmName="SHA-512" hashValue="ZQL5IMBNcR9MjRnN2VDX3csFGgNYH65DhvU1K1GJrFNzPotRS9j+OJXp/dhpV1oyh9H1D2JvnRiRVzJO2pu+Ug==" saltValue="G/izNeoTvjeBptB6QPmwvg==" spinCount="100000" sheet="1" objects="1" scenarios="1" formatCells="0" formatColumns="0" formatRows="0" insertRows="0" insertHyperlinks="0" sort="0" autoFilter="0" pivotTables="0"/>
  <protectedRanges>
    <protectedRange sqref="B94 L21:L90" name="Commentaires"/>
    <protectedRange sqref="C83 G82:G90 B82:B90 C82:D82 C84:D90" name="Libellés"/>
    <protectedRange sqref="E58:E65 H15:K15 E67:E70 E82:E90 E44:E45 E42 E23:E25 E27:E29 E31:E35 E37:E40 E47:E49 E73:E76 E78:E80 E51:E56 H23:K25 H27:K29 H31:K35 H42:K42 H44:K45 H47:K49 H51:K56 H58:K65 H73:K76 H67:K70 H78:K80 H37:K40 H82:K90" name="Valeurs"/>
  </protectedRanges>
  <mergeCells count="78">
    <mergeCell ref="H13:K13"/>
    <mergeCell ref="B11:D11"/>
    <mergeCell ref="B17:D18"/>
    <mergeCell ref="B20:D20"/>
    <mergeCell ref="B21:D21"/>
    <mergeCell ref="B15:D15"/>
    <mergeCell ref="B16:D16"/>
    <mergeCell ref="B33:D33"/>
    <mergeCell ref="B22:D22"/>
    <mergeCell ref="B23:D23"/>
    <mergeCell ref="B24:D24"/>
    <mergeCell ref="B25:D25"/>
    <mergeCell ref="B26:D26"/>
    <mergeCell ref="B27:D27"/>
    <mergeCell ref="B28:D28"/>
    <mergeCell ref="B29:D29"/>
    <mergeCell ref="B30:D30"/>
    <mergeCell ref="B31:D31"/>
    <mergeCell ref="B32:D32"/>
    <mergeCell ref="B45:D45"/>
    <mergeCell ref="B34:D34"/>
    <mergeCell ref="B35:D35"/>
    <mergeCell ref="B36:D36"/>
    <mergeCell ref="B37:D37"/>
    <mergeCell ref="B38:D38"/>
    <mergeCell ref="B39:D39"/>
    <mergeCell ref="B40:D40"/>
    <mergeCell ref="B41:D41"/>
    <mergeCell ref="B42:D42"/>
    <mergeCell ref="B43:D43"/>
    <mergeCell ref="B44:D44"/>
    <mergeCell ref="B46:D46"/>
    <mergeCell ref="B47:D47"/>
    <mergeCell ref="B48:D48"/>
    <mergeCell ref="B49:D49"/>
    <mergeCell ref="B50:D50"/>
    <mergeCell ref="B73:D73"/>
    <mergeCell ref="B74:D74"/>
    <mergeCell ref="B66:D66"/>
    <mergeCell ref="B58:D58"/>
    <mergeCell ref="B59:D59"/>
    <mergeCell ref="B60:D60"/>
    <mergeCell ref="B61:D61"/>
    <mergeCell ref="B63:D63"/>
    <mergeCell ref="B64:D64"/>
    <mergeCell ref="B65:D65"/>
    <mergeCell ref="B90:D90"/>
    <mergeCell ref="B51:D51"/>
    <mergeCell ref="B52:D52"/>
    <mergeCell ref="B53:D53"/>
    <mergeCell ref="B54:D54"/>
    <mergeCell ref="B55:D55"/>
    <mergeCell ref="B57:D57"/>
    <mergeCell ref="B62:D62"/>
    <mergeCell ref="B56:D56"/>
    <mergeCell ref="B67:D67"/>
    <mergeCell ref="B75:D75"/>
    <mergeCell ref="B68:D68"/>
    <mergeCell ref="B69:D69"/>
    <mergeCell ref="B70:D70"/>
    <mergeCell ref="B71:D71"/>
    <mergeCell ref="B72:D72"/>
    <mergeCell ref="B94:L97"/>
    <mergeCell ref="B87:D87"/>
    <mergeCell ref="B76:D76"/>
    <mergeCell ref="B77:D77"/>
    <mergeCell ref="B78:D78"/>
    <mergeCell ref="B79:D79"/>
    <mergeCell ref="B80:D80"/>
    <mergeCell ref="B81:D81"/>
    <mergeCell ref="B82:D82"/>
    <mergeCell ref="B84:D84"/>
    <mergeCell ref="B85:D85"/>
    <mergeCell ref="B86:D86"/>
    <mergeCell ref="C83:D83"/>
    <mergeCell ref="B88:D88"/>
    <mergeCell ref="B89:D89"/>
    <mergeCell ref="B93:D93"/>
  </mergeCells>
  <pageMargins left="0.23622047244094491" right="0.23622047244094491" top="0.74803149606299213" bottom="0.74803149606299213" header="0.31496062992125984" footer="0.31496062992125984"/>
  <pageSetup paperSize="9" scale="46" orientation="portrait" r:id="rId1"/>
  <headerFooter>
    <oddFooter>&amp;L&amp;D&amp;C&amp;G&amp;RPlan financier Crédal - Dossier confidentiel</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7A5D7-537D-450F-BB2D-2DAC88379D43}">
  <dimension ref="A1:AC412"/>
  <sheetViews>
    <sheetView topLeftCell="A30" zoomScale="115" zoomScaleNormal="115" workbookViewId="0">
      <selection activeCell="C58" sqref="C58"/>
    </sheetView>
  </sheetViews>
  <sheetFormatPr baseColWidth="10" defaultColWidth="10.77734375" defaultRowHeight="13.8" outlineLevelRow="1" outlineLevelCol="1"/>
  <cols>
    <col min="1" max="1" width="48.77734375" style="125" customWidth="1"/>
    <col min="2" max="2" width="7.33203125" style="125" customWidth="1"/>
    <col min="3" max="3" width="11.6640625" style="125" customWidth="1"/>
    <col min="4" max="4" width="11.77734375" style="125" customWidth="1"/>
    <col min="5" max="5" width="12.5546875" style="125" customWidth="1"/>
    <col min="6" max="6" width="13.33203125" style="125" customWidth="1"/>
    <col min="7" max="7" width="12.21875" style="125" customWidth="1"/>
    <col min="8" max="8" width="11.6640625" style="125" customWidth="1"/>
    <col min="9" max="18" width="10.77734375" style="125" customWidth="1" outlineLevel="1"/>
    <col min="19" max="19" width="10.77734375" style="618"/>
    <col min="20" max="20" width="33.21875" style="618" customWidth="1"/>
    <col min="21" max="21" width="17.6640625" style="125" customWidth="1"/>
    <col min="22" max="22" width="18.33203125" style="125" customWidth="1"/>
    <col min="23" max="16384" width="10.77734375" style="125"/>
  </cols>
  <sheetData>
    <row r="1" spans="1:20">
      <c r="A1" s="616" t="s">
        <v>321</v>
      </c>
      <c r="B1" s="617"/>
      <c r="C1" s="617"/>
      <c r="D1" s="617"/>
      <c r="E1" s="617"/>
      <c r="F1" s="617"/>
      <c r="G1" s="617"/>
      <c r="H1" s="617"/>
      <c r="I1" s="616" t="s">
        <v>321</v>
      </c>
      <c r="J1" s="617"/>
      <c r="K1" s="617"/>
      <c r="L1" s="617"/>
      <c r="M1" s="617"/>
      <c r="N1" s="617"/>
      <c r="O1" s="617"/>
      <c r="P1" s="617"/>
      <c r="Q1" s="617"/>
      <c r="R1" s="617"/>
      <c r="T1" s="125"/>
    </row>
    <row r="2" spans="1:20" ht="14.4" customHeight="1">
      <c r="A2" s="619"/>
      <c r="B2" s="640" t="s">
        <v>394</v>
      </c>
      <c r="C2" s="641" t="s">
        <v>192</v>
      </c>
      <c r="D2" s="641"/>
      <c r="E2" s="641"/>
      <c r="F2" s="641"/>
      <c r="G2" s="641"/>
      <c r="H2" s="641"/>
      <c r="I2" s="641" t="s">
        <v>192</v>
      </c>
      <c r="J2" s="641"/>
      <c r="K2" s="641"/>
      <c r="L2" s="641"/>
      <c r="M2" s="641"/>
      <c r="N2" s="641"/>
      <c r="O2" s="641"/>
      <c r="P2" s="641"/>
      <c r="Q2" s="641"/>
      <c r="R2" s="641"/>
      <c r="T2" s="125"/>
    </row>
    <row r="3" spans="1:20">
      <c r="B3" s="640"/>
      <c r="C3" s="642" t="s">
        <v>292</v>
      </c>
      <c r="D3" s="643" t="s">
        <v>293</v>
      </c>
      <c r="E3" s="643" t="s">
        <v>294</v>
      </c>
      <c r="F3" s="643" t="s">
        <v>295</v>
      </c>
      <c r="G3" s="644" t="s">
        <v>296</v>
      </c>
      <c r="H3" s="643" t="s">
        <v>297</v>
      </c>
      <c r="I3" s="643" t="s">
        <v>298</v>
      </c>
      <c r="J3" s="643" t="s">
        <v>299</v>
      </c>
      <c r="K3" s="644" t="s">
        <v>300</v>
      </c>
      <c r="L3" s="643" t="s">
        <v>301</v>
      </c>
      <c r="M3" s="643" t="s">
        <v>302</v>
      </c>
      <c r="N3" s="643" t="s">
        <v>303</v>
      </c>
      <c r="O3" s="643" t="s">
        <v>304</v>
      </c>
      <c r="P3" s="643" t="s">
        <v>305</v>
      </c>
      <c r="Q3" s="643" t="s">
        <v>306</v>
      </c>
      <c r="R3" s="643" t="s">
        <v>307</v>
      </c>
      <c r="T3" s="125"/>
    </row>
    <row r="4" spans="1:20" ht="28.8" customHeight="1">
      <c r="A4" s="126" t="s">
        <v>23</v>
      </c>
      <c r="B4" s="645" t="str">
        <f>IFERROR(_xlfn.XLOOKUP(A4,Listes!$F$2:$F$46,Listes!$G$2:$G$46,""),"")</f>
        <v>C3</v>
      </c>
      <c r="C4" s="646" t="str" cm="1">
        <f t="array" aca="1" ref="C4" ca="1">IFERROR(INDIRECT("'" &amp; C$3 &amp; "'!" &amp; $B4),"")</f>
        <v>Coulis de tomate</v>
      </c>
      <c r="D4" s="646" t="str" cm="1">
        <f t="array" aca="1" ref="D4" ca="1">IFERROR(INDIRECT("'" &amp; D$3 &amp; "'!" &amp; $B4),"")</f>
        <v>Pickels légumes</v>
      </c>
      <c r="E4" s="646" t="str" cm="1">
        <f t="array" aca="1" ref="E4" ca="1">IFERROR(INDIRECT("'" &amp; E$3 &amp; "'!" &amp; $B4),"")</f>
        <v>Potage legume feuille</v>
      </c>
      <c r="F4" s="646" t="str" cm="1">
        <f t="array" aca="1" ref="F4" ca="1">IFERROR(INDIRECT("'" &amp; F$3 &amp; "'!" &amp; $B4),"")</f>
        <v>Bolognaise</v>
      </c>
      <c r="G4" s="646" t="str" cm="1">
        <f t="array" aca="1" ref="G4" ca="1">IFERROR(INDIRECT("'" &amp; G$3 &amp; "'!" &amp; $B4),"")</f>
        <v>Chutney carottes</v>
      </c>
      <c r="H4" s="646" t="str" cm="1">
        <f t="array" aca="1" ref="H4" ca="1">IFERROR(INDIRECT("'" &amp; H$3 &amp; "'!" &amp; $B4),"")</f>
        <v>Marmelade agrumes</v>
      </c>
      <c r="I4" s="646" t="str" cm="1">
        <f t="array" aca="1" ref="I4" ca="1">IFERROR(INDIRECT("'" &amp; I$3 &amp; "'!" &amp; $B4),"")</f>
        <v>Sirop menthe</v>
      </c>
      <c r="J4" s="646" t="str" cm="1">
        <f t="array" aca="1" ref="J4" ca="1">IFERROR(INDIRECT("'" &amp; J$3 &amp; "'!" &amp; $B4),"")</f>
        <v>Cornichons</v>
      </c>
      <c r="K4" s="646" t="str" cm="1">
        <f t="array" aca="1" ref="K4" ca="1">IFERROR(INDIRECT("'" &amp; K$3 &amp; "'!" &amp; $B4),"")</f>
        <v/>
      </c>
      <c r="L4" s="646" t="str" cm="1">
        <f t="array" aca="1" ref="L4" ca="1">IFERROR(INDIRECT("'" &amp; L$3 &amp; "'!" &amp; $B4),"")</f>
        <v/>
      </c>
      <c r="M4" s="646" t="str" cm="1">
        <f t="array" aca="1" ref="M4" ca="1">IFERROR(INDIRECT("'" &amp; M$3 &amp; "'!" &amp; $B4),"")</f>
        <v/>
      </c>
      <c r="N4" s="646" t="str" cm="1">
        <f t="array" aca="1" ref="N4" ca="1">IFERROR(INDIRECT("'" &amp; N$3 &amp; "'!" &amp; $B4),"")</f>
        <v/>
      </c>
      <c r="O4" s="646" t="str" cm="1">
        <f t="array" aca="1" ref="O4" ca="1">IFERROR(INDIRECT("'" &amp; O$3 &amp; "'!" &amp; $B4),"")</f>
        <v/>
      </c>
      <c r="P4" s="646" t="str" cm="1">
        <f t="array" aca="1" ref="P4" ca="1">IFERROR(INDIRECT("'" &amp; P$3 &amp; "'!" &amp; $B4),"")</f>
        <v/>
      </c>
      <c r="Q4" s="646" t="str" cm="1">
        <f t="array" aca="1" ref="Q4" ca="1">IFERROR(INDIRECT("'" &amp; Q$3 &amp; "'!" &amp; $B4),"")</f>
        <v/>
      </c>
      <c r="R4" s="646" t="str" cm="1">
        <f t="array" aca="1" ref="R4" ca="1">IFERROR(INDIRECT("'" &amp; R$3 &amp; "'!" &amp; $B4),"")</f>
        <v/>
      </c>
      <c r="T4" s="125"/>
    </row>
    <row r="5" spans="1:20" outlineLevel="1">
      <c r="A5" s="645" t="s">
        <v>181</v>
      </c>
      <c r="B5" s="645" t="str">
        <f>IFERROR(_xlfn.XLOOKUP(A5,Listes!$F$2:$F$46,Listes!$G$2:$G$46,""),"")</f>
        <v>D6</v>
      </c>
      <c r="C5" s="647" cm="1">
        <f t="array" aca="1" ref="C5" ca="1">IFERROR(INDIRECT("'" &amp; C$3 &amp; "'!" &amp; $B5),"")</f>
        <v>0.2</v>
      </c>
      <c r="D5" s="647" cm="1">
        <f t="array" aca="1" ref="D5" ca="1">IFERROR(INDIRECT("'" &amp; D$3 &amp; "'!" &amp; $B5),"")</f>
        <v>0.2</v>
      </c>
      <c r="E5" s="647" cm="1">
        <f t="array" aca="1" ref="E5" ca="1">IFERROR(INDIRECT("'" &amp; E$3 &amp; "'!" &amp; $B5),"")</f>
        <v>0.2</v>
      </c>
      <c r="F5" s="647" cm="1">
        <f t="array" aca="1" ref="F5" ca="1">IFERROR(INDIRECT("'" &amp; F$3 &amp; "'!" &amp; $B5),"")</f>
        <v>0.2</v>
      </c>
      <c r="G5" s="647" cm="1">
        <f t="array" aca="1" ref="G5" ca="1">IFERROR(INDIRECT("'" &amp; G$3 &amp; "'!" &amp; $B5),"")</f>
        <v>0.2</v>
      </c>
      <c r="H5" s="647" cm="1">
        <f t="array" aca="1" ref="H5" ca="1">IFERROR(INDIRECT("'" &amp; H$3 &amp; "'!" &amp; $B5),"")</f>
        <v>0.2</v>
      </c>
      <c r="I5" s="647" cm="1">
        <f t="array" aca="1" ref="I5" ca="1">IFERROR(INDIRECT("'" &amp; I$3 &amp; "'!" &amp; $B5),"")</f>
        <v>0.2</v>
      </c>
      <c r="J5" s="647" cm="1">
        <f t="array" aca="1" ref="J5" ca="1">IFERROR(INDIRECT("'" &amp; J$3 &amp; "'!" &amp; $B5),"")</f>
        <v>0.2</v>
      </c>
      <c r="K5" s="647" t="str" cm="1">
        <f t="array" aca="1" ref="K5" ca="1">IFERROR(INDIRECT("'" &amp; K$3 &amp; "'!" &amp; $B5),"")</f>
        <v/>
      </c>
      <c r="L5" s="647" t="str" cm="1">
        <f t="array" aca="1" ref="L5" ca="1">IFERROR(INDIRECT("'" &amp; L$3 &amp; "'!" &amp; $B5),"")</f>
        <v/>
      </c>
      <c r="M5" s="647" t="str" cm="1">
        <f t="array" aca="1" ref="M5" ca="1">IFERROR(INDIRECT("'" &amp; M$3 &amp; "'!" &amp; $B5),"")</f>
        <v/>
      </c>
      <c r="N5" s="647" t="str" cm="1">
        <f t="array" aca="1" ref="N5" ca="1">IFERROR(INDIRECT("'" &amp; N$3 &amp; "'!" &amp; $B5),"")</f>
        <v/>
      </c>
      <c r="O5" s="647" t="str" cm="1">
        <f t="array" aca="1" ref="O5" ca="1">IFERROR(INDIRECT("'" &amp; O$3 &amp; "'!" &amp; $B5),"")</f>
        <v/>
      </c>
      <c r="P5" s="647" t="str" cm="1">
        <f t="array" aca="1" ref="P5" ca="1">IFERROR(INDIRECT("'" &amp; P$3 &amp; "'!" &amp; $B5),"")</f>
        <v/>
      </c>
      <c r="Q5" s="647" t="str" cm="1">
        <f t="array" aca="1" ref="Q5" ca="1">IFERROR(INDIRECT("'" &amp; Q$3 &amp; "'!" &amp; $B5),"")</f>
        <v/>
      </c>
      <c r="R5" s="647" t="str" cm="1">
        <f t="array" aca="1" ref="R5" ca="1">IFERROR(INDIRECT("'" &amp; R$3 &amp; "'!" &amp; $B5),"")</f>
        <v/>
      </c>
      <c r="T5" s="125"/>
    </row>
    <row r="6" spans="1:20" outlineLevel="1">
      <c r="A6" s="645" t="s">
        <v>183</v>
      </c>
      <c r="B6" s="645" t="str">
        <f>IFERROR(_xlfn.XLOOKUP(A6,Listes!$F$2:$F$46,Listes!$G$2:$G$46,""),"")</f>
        <v>D10</v>
      </c>
      <c r="C6" s="15" cm="1">
        <f t="array" aca="1" ref="C6" ca="1">IFERROR(INDIRECT("'" &amp; C$3 &amp; "'!" &amp; $B6),"")</f>
        <v>4.0599999999999996</v>
      </c>
      <c r="D6" s="15" cm="1">
        <f t="array" aca="1" ref="D6" ca="1">IFERROR(INDIRECT("'" &amp; D$3 &amp; "'!" &amp; $B6),"")</f>
        <v>4.0599999999999996</v>
      </c>
      <c r="E6" s="15" cm="1">
        <f t="array" aca="1" ref="E6" ca="1">IFERROR(INDIRECT("'" &amp; E$3 &amp; "'!" &amp; $B6),"")</f>
        <v>4.0599999999999996</v>
      </c>
      <c r="F6" s="15" cm="1">
        <f t="array" aca="1" ref="F6" ca="1">IFERROR(INDIRECT("'" &amp; F$3 &amp; "'!" &amp; $B6),"")</f>
        <v>4.0599999999999996</v>
      </c>
      <c r="G6" s="15" cm="1">
        <f t="array" aca="1" ref="G6" ca="1">IFERROR(INDIRECT("'" &amp; G$3 &amp; "'!" &amp; $B6),"")</f>
        <v>4.0599999999999996</v>
      </c>
      <c r="H6" s="15" cm="1">
        <f t="array" aca="1" ref="H6" ca="1">IFERROR(INDIRECT("'" &amp; H$3 &amp; "'!" &amp; $B6),"")</f>
        <v>4.0599999999999996</v>
      </c>
      <c r="I6" s="15" cm="1">
        <f t="array" aca="1" ref="I6" ca="1">IFERROR(INDIRECT("'" &amp; I$3 &amp; "'!" &amp; $B6),"")</f>
        <v>4.0599999999999996</v>
      </c>
      <c r="J6" s="15" cm="1">
        <f t="array" aca="1" ref="J6" ca="1">IFERROR(INDIRECT("'" &amp; J$3 &amp; "'!" &amp; $B6),"")</f>
        <v>4.0599999999999996</v>
      </c>
      <c r="K6" s="15" t="str" cm="1">
        <f t="array" aca="1" ref="K6" ca="1">IFERROR(INDIRECT("'" &amp; K$3 &amp; "'!" &amp; $B6),"")</f>
        <v/>
      </c>
      <c r="L6" s="15" t="str" cm="1">
        <f t="array" aca="1" ref="L6" ca="1">IFERROR(INDIRECT("'" &amp; L$3 &amp; "'!" &amp; $B6),"")</f>
        <v/>
      </c>
      <c r="M6" s="15" t="str" cm="1">
        <f t="array" aca="1" ref="M6" ca="1">IFERROR(INDIRECT("'" &amp; M$3 &amp; "'!" &amp; $B6),"")</f>
        <v/>
      </c>
      <c r="N6" s="15" t="str" cm="1">
        <f t="array" aca="1" ref="N6" ca="1">IFERROR(INDIRECT("'" &amp; N$3 &amp; "'!" &amp; $B6),"")</f>
        <v/>
      </c>
      <c r="O6" s="15" t="str" cm="1">
        <f t="array" aca="1" ref="O6" ca="1">IFERROR(INDIRECT("'" &amp; O$3 &amp; "'!" &amp; $B6),"")</f>
        <v/>
      </c>
      <c r="P6" s="15" t="str" cm="1">
        <f t="array" aca="1" ref="P6" ca="1">IFERROR(INDIRECT("'" &amp; P$3 &amp; "'!" &amp; $B6),"")</f>
        <v/>
      </c>
      <c r="Q6" s="15" t="str" cm="1">
        <f t="array" aca="1" ref="Q6" ca="1">IFERROR(INDIRECT("'" &amp; Q$3 &amp; "'!" &amp; $B6),"")</f>
        <v/>
      </c>
      <c r="R6" s="15" t="str" cm="1">
        <f t="array" aca="1" ref="R6" ca="1">IFERROR(INDIRECT("'" &amp; R$3 &amp; "'!" &amp; $B6),"")</f>
        <v/>
      </c>
      <c r="T6" s="125"/>
    </row>
    <row r="7" spans="1:20" outlineLevel="1">
      <c r="A7" s="645" t="s">
        <v>184</v>
      </c>
      <c r="B7" s="645" t="str">
        <f>IFERROR(_xlfn.XLOOKUP(A7,Listes!$F$2:$F$46,Listes!$G$2:$G$46,""),"")</f>
        <v>G10</v>
      </c>
      <c r="C7" s="15" cm="1">
        <f t="array" aca="1" ref="C7" ca="1">IFERROR(INDIRECT("'" &amp; C$3 &amp; "'!" &amp; $B7),"")</f>
        <v>4.6698113207547172</v>
      </c>
      <c r="D7" s="15" cm="1">
        <f t="array" aca="1" ref="D7" ca="1">IFERROR(INDIRECT("'" &amp; D$3 &amp; "'!" &amp; $B7),"")</f>
        <v>4.6698113207547172</v>
      </c>
      <c r="E7" s="15" cm="1">
        <f t="array" aca="1" ref="E7" ca="1">IFERROR(INDIRECT("'" &amp; E$3 &amp; "'!" &amp; $B7),"")</f>
        <v>4.6698113207547172</v>
      </c>
      <c r="F7" s="15" cm="1">
        <f t="array" aca="1" ref="F7" ca="1">IFERROR(INDIRECT("'" &amp; F$3 &amp; "'!" &amp; $B7),"")</f>
        <v>4.6698113207547172</v>
      </c>
      <c r="G7" s="15" cm="1">
        <f t="array" aca="1" ref="G7" ca="1">IFERROR(INDIRECT("'" &amp; G$3 &amp; "'!" &amp; $B7),"")</f>
        <v>4.6698113207547172</v>
      </c>
      <c r="H7" s="15" cm="1">
        <f t="array" aca="1" ref="H7" ca="1">IFERROR(INDIRECT("'" &amp; H$3 &amp; "'!" &amp; $B7),"")</f>
        <v>4.6698113207547172</v>
      </c>
      <c r="I7" s="15" cm="1">
        <f t="array" aca="1" ref="I7" ca="1">IFERROR(INDIRECT("'" &amp; I$3 &amp; "'!" &amp; $B7),"")</f>
        <v>4.6698113207547172</v>
      </c>
      <c r="J7" s="15" cm="1">
        <f t="array" aca="1" ref="J7" ca="1">IFERROR(INDIRECT("'" &amp; J$3 &amp; "'!" &amp; $B7),"")</f>
        <v>4.6698113207547172</v>
      </c>
      <c r="K7" s="15" t="str" cm="1">
        <f t="array" aca="1" ref="K7" ca="1">IFERROR(INDIRECT("'" &amp; K$3 &amp; "'!" &amp; $B7),"")</f>
        <v/>
      </c>
      <c r="L7" s="15" t="str" cm="1">
        <f t="array" aca="1" ref="L7" ca="1">IFERROR(INDIRECT("'" &amp; L$3 &amp; "'!" &amp; $B7),"")</f>
        <v/>
      </c>
      <c r="M7" s="15" t="str" cm="1">
        <f t="array" aca="1" ref="M7" ca="1">IFERROR(INDIRECT("'" &amp; M$3 &amp; "'!" &amp; $B7),"")</f>
        <v/>
      </c>
      <c r="N7" s="15" t="str" cm="1">
        <f t="array" aca="1" ref="N7" ca="1">IFERROR(INDIRECT("'" &amp; N$3 &amp; "'!" &amp; $B7),"")</f>
        <v/>
      </c>
      <c r="O7" s="15" t="str" cm="1">
        <f t="array" aca="1" ref="O7" ca="1">IFERROR(INDIRECT("'" &amp; O$3 &amp; "'!" &amp; $B7),"")</f>
        <v/>
      </c>
      <c r="P7" s="15" t="str" cm="1">
        <f t="array" aca="1" ref="P7" ca="1">IFERROR(INDIRECT("'" &amp; P$3 &amp; "'!" &amp; $B7),"")</f>
        <v/>
      </c>
      <c r="Q7" s="15" t="str" cm="1">
        <f t="array" aca="1" ref="Q7" ca="1">IFERROR(INDIRECT("'" &amp; Q$3 &amp; "'!" &amp; $B7),"")</f>
        <v/>
      </c>
      <c r="R7" s="15" t="str" cm="1">
        <f t="array" aca="1" ref="R7" ca="1">IFERROR(INDIRECT("'" &amp; R$3 &amp; "'!" &amp; $B7),"")</f>
        <v/>
      </c>
      <c r="T7" s="125"/>
    </row>
    <row r="8" spans="1:20" outlineLevel="1">
      <c r="A8" s="645" t="s">
        <v>185</v>
      </c>
      <c r="B8" s="645" t="str">
        <f>IFERROR(_xlfn.XLOOKUP(A8,Listes!$F$2:$F$46,Listes!$G$2:$G$46,""),"")</f>
        <v>D13</v>
      </c>
      <c r="C8" s="16" cm="1">
        <f t="array" aca="1" ref="C8" ca="1">IFERROR(INDIRECT("'" &amp; C$3 &amp; "'!" &amp; $B8),"")</f>
        <v>0.15019983269820636</v>
      </c>
      <c r="D8" s="16" cm="1">
        <f t="array" aca="1" ref="D8" ca="1">IFERROR(INDIRECT("'" &amp; D$3 &amp; "'!" &amp; $B8),"")</f>
        <v>0.15019983269820636</v>
      </c>
      <c r="E8" s="16" cm="1">
        <f t="array" aca="1" ref="E8" ca="1">IFERROR(INDIRECT("'" &amp; E$3 &amp; "'!" &amp; $B8),"")</f>
        <v>0.15019983269820636</v>
      </c>
      <c r="F8" s="16" cm="1">
        <f t="array" aca="1" ref="F8" ca="1">IFERROR(INDIRECT("'" &amp; F$3 &amp; "'!" &amp; $B8),"")</f>
        <v>0.15019983269820636</v>
      </c>
      <c r="G8" s="16" cm="1">
        <f t="array" aca="1" ref="G8" ca="1">IFERROR(INDIRECT("'" &amp; G$3 &amp; "'!" &amp; $B8),"")</f>
        <v>0.15019983269820636</v>
      </c>
      <c r="H8" s="16" cm="1">
        <f t="array" aca="1" ref="H8" ca="1">IFERROR(INDIRECT("'" &amp; H$3 &amp; "'!" &amp; $B8),"")</f>
        <v>0.15019983269820636</v>
      </c>
      <c r="I8" s="16" cm="1">
        <f t="array" aca="1" ref="I8" ca="1">IFERROR(INDIRECT("'" &amp; I$3 &amp; "'!" &amp; $B8),"")</f>
        <v>0.15019983269820636</v>
      </c>
      <c r="J8" s="16" cm="1">
        <f t="array" aca="1" ref="J8" ca="1">IFERROR(INDIRECT("'" &amp; J$3 &amp; "'!" &amp; $B8),"")</f>
        <v>0.15019983269820636</v>
      </c>
      <c r="K8" s="16" t="str" cm="1">
        <f t="array" aca="1" ref="K8" ca="1">IFERROR(INDIRECT("'" &amp; K$3 &amp; "'!" &amp; $B8),"")</f>
        <v/>
      </c>
      <c r="L8" s="16" t="str" cm="1">
        <f t="array" aca="1" ref="L8" ca="1">IFERROR(INDIRECT("'" &amp; L$3 &amp; "'!" &amp; $B8),"")</f>
        <v/>
      </c>
      <c r="M8" s="16" t="str" cm="1">
        <f t="array" aca="1" ref="M8" ca="1">IFERROR(INDIRECT("'" &amp; M$3 &amp; "'!" &amp; $B8),"")</f>
        <v/>
      </c>
      <c r="N8" s="16" t="str" cm="1">
        <f t="array" aca="1" ref="N8" ca="1">IFERROR(INDIRECT("'" &amp; N$3 &amp; "'!" &amp; $B8),"")</f>
        <v/>
      </c>
      <c r="O8" s="16" t="str" cm="1">
        <f t="array" aca="1" ref="O8" ca="1">IFERROR(INDIRECT("'" &amp; O$3 &amp; "'!" &amp; $B8),"")</f>
        <v/>
      </c>
      <c r="P8" s="16" t="str" cm="1">
        <f t="array" aca="1" ref="P8" ca="1">IFERROR(INDIRECT("'" &amp; P$3 &amp; "'!" &amp; $B8),"")</f>
        <v/>
      </c>
      <c r="Q8" s="16" t="str" cm="1">
        <f t="array" aca="1" ref="Q8" ca="1">IFERROR(INDIRECT("'" &amp; Q$3 &amp; "'!" &amp; $B8),"")</f>
        <v/>
      </c>
      <c r="R8" s="16" t="str" cm="1">
        <f t="array" aca="1" ref="R8" ca="1">IFERROR(INDIRECT("'" &amp; R$3 &amp; "'!" &amp; $B8),"")</f>
        <v/>
      </c>
      <c r="T8" s="125"/>
    </row>
    <row r="9" spans="1:20" outlineLevel="1">
      <c r="A9" s="645" t="s">
        <v>182</v>
      </c>
      <c r="B9" s="645" t="str">
        <f>IFERROR(_xlfn.XLOOKUP(A9,Listes!$F$2:$F$46,Listes!$G$2:$G$46,""),"")</f>
        <v>D5</v>
      </c>
      <c r="C9" s="647" cm="1">
        <f t="array" aca="1" ref="C9" ca="1">IFERROR(INDIRECT("'" &amp; C$3 &amp; "'!" &amp; $B9),"")</f>
        <v>50</v>
      </c>
      <c r="D9" s="647" cm="1">
        <f t="array" aca="1" ref="D9" ca="1">IFERROR(INDIRECT("'" &amp; D$3 &amp; "'!" &amp; $B9),"")</f>
        <v>50</v>
      </c>
      <c r="E9" s="647" cm="1">
        <f t="array" aca="1" ref="E9" ca="1">IFERROR(INDIRECT("'" &amp; E$3 &amp; "'!" &amp; $B9),"")</f>
        <v>50</v>
      </c>
      <c r="F9" s="647" cm="1">
        <f t="array" aca="1" ref="F9" ca="1">IFERROR(INDIRECT("'" &amp; F$3 &amp; "'!" &amp; $B9),"")</f>
        <v>50</v>
      </c>
      <c r="G9" s="647" cm="1">
        <f t="array" aca="1" ref="G9" ca="1">IFERROR(INDIRECT("'" &amp; G$3 &amp; "'!" &amp; $B9),"")</f>
        <v>50</v>
      </c>
      <c r="H9" s="647" cm="1">
        <f t="array" aca="1" ref="H9" ca="1">IFERROR(INDIRECT("'" &amp; H$3 &amp; "'!" &amp; $B9),"")</f>
        <v>50</v>
      </c>
      <c r="I9" s="647" cm="1">
        <f t="array" aca="1" ref="I9" ca="1">IFERROR(INDIRECT("'" &amp; I$3 &amp; "'!" &amp; $B9),"")</f>
        <v>50</v>
      </c>
      <c r="J9" s="647" cm="1">
        <f t="array" aca="1" ref="J9" ca="1">IFERROR(INDIRECT("'" &amp; J$3 &amp; "'!" &amp; $B9),"")</f>
        <v>50</v>
      </c>
      <c r="K9" s="647" t="str" cm="1">
        <f t="array" aca="1" ref="K9" ca="1">IFERROR(INDIRECT("'" &amp; K$3 &amp; "'!" &amp; $B9),"")</f>
        <v/>
      </c>
      <c r="L9" s="647" t="str" cm="1">
        <f t="array" aca="1" ref="L9" ca="1">IFERROR(INDIRECT("'" &amp; L$3 &amp; "'!" &amp; $B9),"")</f>
        <v/>
      </c>
      <c r="M9" s="647" t="str" cm="1">
        <f t="array" aca="1" ref="M9" ca="1">IFERROR(INDIRECT("'" &amp; M$3 &amp; "'!" &amp; $B9),"")</f>
        <v/>
      </c>
      <c r="N9" s="647" t="str" cm="1">
        <f t="array" aca="1" ref="N9" ca="1">IFERROR(INDIRECT("'" &amp; N$3 &amp; "'!" &amp; $B9),"")</f>
        <v/>
      </c>
      <c r="O9" s="647" t="str" cm="1">
        <f t="array" aca="1" ref="O9" ca="1">IFERROR(INDIRECT("'" &amp; O$3 &amp; "'!" &amp; $B9),"")</f>
        <v/>
      </c>
      <c r="P9" s="647" t="str" cm="1">
        <f t="array" aca="1" ref="P9" ca="1">IFERROR(INDIRECT("'" &amp; P$3 &amp; "'!" &amp; $B9),"")</f>
        <v/>
      </c>
      <c r="Q9" s="647" t="str" cm="1">
        <f t="array" aca="1" ref="Q9" ca="1">IFERROR(INDIRECT("'" &amp; Q$3 &amp; "'!" &amp; $B9),"")</f>
        <v/>
      </c>
      <c r="R9" s="647" t="str" cm="1">
        <f t="array" aca="1" ref="R9" ca="1">IFERROR(INDIRECT("'" &amp; R$3 &amp; "'!" &amp; $B9),"")</f>
        <v/>
      </c>
      <c r="T9" s="125"/>
    </row>
    <row r="10" spans="1:20" outlineLevel="1">
      <c r="A10" s="645" t="s">
        <v>412</v>
      </c>
      <c r="B10" s="645" t="str">
        <f>IFERROR(_xlfn.XLOOKUP(A10,Listes!$F$2:$F$46,Listes!$G$2:$G$46,""),"")</f>
        <v>D8</v>
      </c>
      <c r="C10" s="647" cm="1">
        <f t="array" aca="1" ref="C10" ca="1">IFERROR(INDIRECT("'" &amp; C$3 &amp; "'!" &amp; $B10),"")</f>
        <v>225</v>
      </c>
      <c r="D10" s="647" cm="1">
        <f t="array" aca="1" ref="D10" ca="1">IFERROR(INDIRECT("'" &amp; D$3 &amp; "'!" &amp; $B10),"")</f>
        <v>225</v>
      </c>
      <c r="E10" s="647" cm="1">
        <f t="array" aca="1" ref="E10" ca="1">IFERROR(INDIRECT("'" &amp; E$3 &amp; "'!" &amp; $B10),"")</f>
        <v>225</v>
      </c>
      <c r="F10" s="647" cm="1">
        <f t="array" aca="1" ref="F10" ca="1">IFERROR(INDIRECT("'" &amp; F$3 &amp; "'!" &amp; $B10),"")</f>
        <v>225</v>
      </c>
      <c r="G10" s="647" cm="1">
        <f t="array" aca="1" ref="G10" ca="1">IFERROR(INDIRECT("'" &amp; G$3 &amp; "'!" &amp; $B10),"")</f>
        <v>225</v>
      </c>
      <c r="H10" s="647" cm="1">
        <f t="array" aca="1" ref="H10" ca="1">IFERROR(INDIRECT("'" &amp; H$3 &amp; "'!" &amp; $B10),"")</f>
        <v>225</v>
      </c>
      <c r="I10" s="647" cm="1">
        <f t="array" aca="1" ref="I10" ca="1">IFERROR(INDIRECT("'" &amp; I$3 &amp; "'!" &amp; $B10),"")</f>
        <v>225</v>
      </c>
      <c r="J10" s="647" cm="1">
        <f t="array" aca="1" ref="J10" ca="1">IFERROR(INDIRECT("'" &amp; J$3 &amp; "'!" &amp; $B10),"")</f>
        <v>225</v>
      </c>
      <c r="K10" s="647" t="str" cm="1">
        <f t="array" aca="1" ref="K10" ca="1">IFERROR(INDIRECT("'" &amp; K$3 &amp; "'!" &amp; $B10),"")</f>
        <v/>
      </c>
      <c r="L10" s="647" t="str" cm="1">
        <f t="array" aca="1" ref="L10" ca="1">IFERROR(INDIRECT("'" &amp; L$3 &amp; "'!" &amp; $B10),"")</f>
        <v/>
      </c>
      <c r="M10" s="647" t="str" cm="1">
        <f t="array" aca="1" ref="M10" ca="1">IFERROR(INDIRECT("'" &amp; M$3 &amp; "'!" &amp; $B10),"")</f>
        <v/>
      </c>
      <c r="N10" s="647" t="str" cm="1">
        <f t="array" aca="1" ref="N10" ca="1">IFERROR(INDIRECT("'" &amp; N$3 &amp; "'!" &amp; $B10),"")</f>
        <v/>
      </c>
      <c r="O10" s="647" t="str" cm="1">
        <f t="array" aca="1" ref="O10" ca="1">IFERROR(INDIRECT("'" &amp; O$3 &amp; "'!" &amp; $B10),"")</f>
        <v/>
      </c>
      <c r="P10" s="647" t="str" cm="1">
        <f t="array" aca="1" ref="P10" ca="1">IFERROR(INDIRECT("'" &amp; P$3 &amp; "'!" &amp; $B10),"")</f>
        <v/>
      </c>
      <c r="Q10" s="647" t="str" cm="1">
        <f t="array" aca="1" ref="Q10" ca="1">IFERROR(INDIRECT("'" &amp; Q$3 &amp; "'!" &amp; $B10),"")</f>
        <v/>
      </c>
      <c r="R10" s="647" t="str" cm="1">
        <f t="array" aca="1" ref="R10" ca="1">IFERROR(INDIRECT("'" &amp; R$3 &amp; "'!" &amp; $B10),"")</f>
        <v/>
      </c>
      <c r="T10" s="125"/>
    </row>
    <row r="11" spans="1:20" outlineLevel="1">
      <c r="A11" s="645" t="s">
        <v>274</v>
      </c>
      <c r="B11" s="645" t="str">
        <f>IFERROR(_xlfn.XLOOKUP(A11,Listes!$F$2:$F$50,Listes!$G$2:$G$50,""),"")</f>
        <v>G46</v>
      </c>
      <c r="C11" s="15" cm="1">
        <f t="array" aca="1" ref="C11" ca="1">IFERROR(INDIRECT("'" &amp; C$3 &amp; "'!" &amp; $B11),"")</f>
        <v>1.1721824444444444</v>
      </c>
      <c r="D11" s="15" cm="1">
        <f t="array" aca="1" ref="D11" ca="1">IFERROR(INDIRECT("'" &amp; D$3 &amp; "'!" &amp; $B11),"")</f>
        <v>1.1721824444444444</v>
      </c>
      <c r="E11" s="15" cm="1">
        <f t="array" aca="1" ref="E11" ca="1">IFERROR(INDIRECT("'" &amp; E$3 &amp; "'!" &amp; $B11),"")</f>
        <v>1.1721824444444444</v>
      </c>
      <c r="F11" s="15" cm="1">
        <f t="array" aca="1" ref="F11" ca="1">IFERROR(INDIRECT("'" &amp; F$3 &amp; "'!" &amp; $B11),"")</f>
        <v>1.1721824444444444</v>
      </c>
      <c r="G11" s="15" cm="1">
        <f t="array" aca="1" ref="G11" ca="1">IFERROR(INDIRECT("'" &amp; G$3 &amp; "'!" &amp; $B11),"")</f>
        <v>1.1721824444444444</v>
      </c>
      <c r="H11" s="15" cm="1">
        <f t="array" aca="1" ref="H11" ca="1">IFERROR(INDIRECT("'" &amp; H$3 &amp; "'!" &amp; $B11),"")</f>
        <v>1.1721824444444444</v>
      </c>
      <c r="I11" s="647" cm="1">
        <f t="array" aca="1" ref="I11" ca="1">IFERROR(INDIRECT("'" &amp; I$3 &amp; "'!" &amp; $B11),"")</f>
        <v>1.1721824444444444</v>
      </c>
      <c r="J11" s="647" cm="1">
        <f t="array" aca="1" ref="J11" ca="1">IFERROR(INDIRECT("'" &amp; J$3 &amp; "'!" &amp; $B11),"")</f>
        <v>1.1721824444444444</v>
      </c>
      <c r="K11" s="647" t="str" cm="1">
        <f t="array" aca="1" ref="K11" ca="1">IFERROR(INDIRECT("'" &amp; K$3 &amp; "'!" &amp; $B11),"")</f>
        <v/>
      </c>
      <c r="L11" s="647" t="str" cm="1">
        <f t="array" aca="1" ref="L11" ca="1">IFERROR(INDIRECT("'" &amp; L$3 &amp; "'!" &amp; $B11),"")</f>
        <v/>
      </c>
      <c r="M11" s="647" t="str" cm="1">
        <f t="array" aca="1" ref="M11" ca="1">IFERROR(INDIRECT("'" &amp; M$3 &amp; "'!" &amp; $B11),"")</f>
        <v/>
      </c>
      <c r="N11" s="647" t="str" cm="1">
        <f t="array" aca="1" ref="N11" ca="1">IFERROR(INDIRECT("'" &amp; N$3 &amp; "'!" &amp; $B11),"")</f>
        <v/>
      </c>
      <c r="O11" s="647" t="str" cm="1">
        <f t="array" aca="1" ref="O11" ca="1">IFERROR(INDIRECT("'" &amp; O$3 &amp; "'!" &amp; $B11),"")</f>
        <v/>
      </c>
      <c r="P11" s="647" t="str" cm="1">
        <f t="array" aca="1" ref="P11" ca="1">IFERROR(INDIRECT("'" &amp; P$3 &amp; "'!" &amp; $B11),"")</f>
        <v/>
      </c>
      <c r="Q11" s="647" t="str" cm="1">
        <f t="array" aca="1" ref="Q11" ca="1">IFERROR(INDIRECT("'" &amp; Q$3 &amp; "'!" &amp; $B11),"")</f>
        <v/>
      </c>
      <c r="R11" s="647" t="str" cm="1">
        <f t="array" aca="1" ref="R11" ca="1">IFERROR(INDIRECT("'" &amp; R$3 &amp; "'!" &amp; $B11),"")</f>
        <v/>
      </c>
      <c r="T11" s="125"/>
    </row>
    <row r="12" spans="1:20" outlineLevel="1">
      <c r="A12" s="645" t="s">
        <v>376</v>
      </c>
      <c r="B12" s="645" t="str">
        <f>IFERROR(_xlfn.XLOOKUP(A12,Listes!$F$2:$F$50,Listes!$G$2:$G$50,""),"")</f>
        <v>G50</v>
      </c>
      <c r="C12" s="15" cm="1">
        <f t="array" aca="1" ref="C12" ca="1">IFERROR(INDIRECT("'" &amp; C$3 &amp; "'!" &amp; $B12),"")</f>
        <v>2.8878175555555554</v>
      </c>
      <c r="D12" s="15" cm="1">
        <f t="array" aca="1" ref="D12" ca="1">IFERROR(INDIRECT("'" &amp; D$3 &amp; "'!" &amp; $B12),"")</f>
        <v>2.8878175555555554</v>
      </c>
      <c r="E12" s="15" cm="1">
        <f t="array" aca="1" ref="E12" ca="1">IFERROR(INDIRECT("'" &amp; E$3 &amp; "'!" &amp; $B12),"")</f>
        <v>2.8878175555555554</v>
      </c>
      <c r="F12" s="15" cm="1">
        <f t="array" aca="1" ref="F12" ca="1">IFERROR(INDIRECT("'" &amp; F$3 &amp; "'!" &amp; $B12),"")</f>
        <v>2.8878175555555554</v>
      </c>
      <c r="G12" s="15" cm="1">
        <f t="array" aca="1" ref="G12" ca="1">IFERROR(INDIRECT("'" &amp; G$3 &amp; "'!" &amp; $B12),"")</f>
        <v>2.8878175555555554</v>
      </c>
      <c r="H12" s="15" cm="1">
        <f t="array" aca="1" ref="H12" ca="1">IFERROR(INDIRECT("'" &amp; H$3 &amp; "'!" &amp; $B12),"")</f>
        <v>2.8878175555555554</v>
      </c>
      <c r="I12" s="15" cm="1">
        <f t="array" aca="1" ref="I12" ca="1">IFERROR(INDIRECT("'" &amp; I$3 &amp; "'!" &amp; $B12),"")</f>
        <v>2.8878175555555554</v>
      </c>
      <c r="J12" s="15" cm="1">
        <f t="array" aca="1" ref="J12" ca="1">IFERROR(INDIRECT("'" &amp; J$3 &amp; "'!" &amp; $B12),"")</f>
        <v>2.8878175555555554</v>
      </c>
      <c r="K12" s="15" t="str" cm="1">
        <f t="array" aca="1" ref="K12" ca="1">IFERROR(INDIRECT("'" &amp; K$3 &amp; "'!" &amp; $B12),"")</f>
        <v/>
      </c>
      <c r="L12" s="15" t="str" cm="1">
        <f t="array" aca="1" ref="L12" ca="1">IFERROR(INDIRECT("'" &amp; L$3 &amp; "'!" &amp; $B12),"")</f>
        <v/>
      </c>
      <c r="M12" s="15" t="str" cm="1">
        <f t="array" aca="1" ref="M12" ca="1">IFERROR(INDIRECT("'" &amp; M$3 &amp; "'!" &amp; $B12),"")</f>
        <v/>
      </c>
      <c r="N12" s="15" t="str" cm="1">
        <f t="array" aca="1" ref="N12" ca="1">IFERROR(INDIRECT("'" &amp; N$3 &amp; "'!" &amp; $B12),"")</f>
        <v/>
      </c>
      <c r="O12" s="15" t="str" cm="1">
        <f t="array" aca="1" ref="O12" ca="1">IFERROR(INDIRECT("'" &amp; O$3 &amp; "'!" &amp; $B12),"")</f>
        <v/>
      </c>
      <c r="P12" s="15" t="str" cm="1">
        <f t="array" aca="1" ref="P12" ca="1">IFERROR(INDIRECT("'" &amp; P$3 &amp; "'!" &amp; $B12),"")</f>
        <v/>
      </c>
      <c r="Q12" s="15" t="str" cm="1">
        <f t="array" aca="1" ref="Q12" ca="1">IFERROR(INDIRECT("'" &amp; Q$3 &amp; "'!" &amp; $B12),"")</f>
        <v/>
      </c>
      <c r="R12" s="15" t="str" cm="1">
        <f t="array" aca="1" ref="R12" ca="1">IFERROR(INDIRECT("'" &amp; R$3 &amp; "'!" &amp; $B12),"")</f>
        <v/>
      </c>
      <c r="T12" s="125"/>
    </row>
    <row r="13" spans="1:20" outlineLevel="1">
      <c r="A13" s="645" t="s">
        <v>377</v>
      </c>
      <c r="B13" s="645" t="str">
        <f>IFERROR(_xlfn.XLOOKUP(A13,Listes!$F$2:$F$50,Listes!$G$2:$G$50,""),"")</f>
        <v>K50</v>
      </c>
      <c r="C13" s="15" cm="1">
        <f t="array" aca="1" ref="C13" ca="1">IFERROR(INDIRECT("'" &amp; C$3 &amp; "'!" &amp; $B13),"")</f>
        <v>3.497628876310273</v>
      </c>
      <c r="D13" s="15" cm="1">
        <f t="array" aca="1" ref="D13" ca="1">IFERROR(INDIRECT("'" &amp; D$3 &amp; "'!" &amp; $B13),"")</f>
        <v>3.497628876310273</v>
      </c>
      <c r="E13" s="15" cm="1">
        <f t="array" aca="1" ref="E13" ca="1">IFERROR(INDIRECT("'" &amp; E$3 &amp; "'!" &amp; $B13),"")</f>
        <v>3.497628876310273</v>
      </c>
      <c r="F13" s="15" cm="1">
        <f t="array" aca="1" ref="F13" ca="1">IFERROR(INDIRECT("'" &amp; F$3 &amp; "'!" &amp; $B13),"")</f>
        <v>3.497628876310273</v>
      </c>
      <c r="G13" s="15" cm="1">
        <f t="array" aca="1" ref="G13" ca="1">IFERROR(INDIRECT("'" &amp; G$3 &amp; "'!" &amp; $B13),"")</f>
        <v>3.497628876310273</v>
      </c>
      <c r="H13" s="15" cm="1">
        <f t="array" aca="1" ref="H13" ca="1">IFERROR(INDIRECT("'" &amp; H$3 &amp; "'!" &amp; $B13),"")</f>
        <v>3.497628876310273</v>
      </c>
      <c r="I13" s="15" cm="1">
        <f t="array" aca="1" ref="I13" ca="1">IFERROR(INDIRECT("'" &amp; I$3 &amp; "'!" &amp; $B13),"")</f>
        <v>3.497628876310273</v>
      </c>
      <c r="J13" s="15" cm="1">
        <f t="array" aca="1" ref="J13" ca="1">IFERROR(INDIRECT("'" &amp; J$3 &amp; "'!" &amp; $B13),"")</f>
        <v>3.497628876310273</v>
      </c>
      <c r="K13" s="15" t="str" cm="1">
        <f t="array" aca="1" ref="K13" ca="1">IFERROR(INDIRECT("'" &amp; K$3 &amp; "'!" &amp; $B13),"")</f>
        <v/>
      </c>
      <c r="L13" s="15" t="str" cm="1">
        <f t="array" aca="1" ref="L13" ca="1">IFERROR(INDIRECT("'" &amp; L$3 &amp; "'!" &amp; $B13),"")</f>
        <v/>
      </c>
      <c r="M13" s="15" t="str" cm="1">
        <f t="array" aca="1" ref="M13" ca="1">IFERROR(INDIRECT("'" &amp; M$3 &amp; "'!" &amp; $B13),"")</f>
        <v/>
      </c>
      <c r="N13" s="15" t="str" cm="1">
        <f t="array" aca="1" ref="N13" ca="1">IFERROR(INDIRECT("'" &amp; N$3 &amp; "'!" &amp; $B13),"")</f>
        <v/>
      </c>
      <c r="O13" s="15" t="str" cm="1">
        <f t="array" aca="1" ref="O13" ca="1">IFERROR(INDIRECT("'" &amp; O$3 &amp; "'!" &amp; $B13),"")</f>
        <v/>
      </c>
      <c r="P13" s="15" t="str" cm="1">
        <f t="array" aca="1" ref="P13" ca="1">IFERROR(INDIRECT("'" &amp; P$3 &amp; "'!" &amp; $B13),"")</f>
        <v/>
      </c>
      <c r="Q13" s="15" t="str" cm="1">
        <f t="array" aca="1" ref="Q13" ca="1">IFERROR(INDIRECT("'" &amp; Q$3 &amp; "'!" &amp; $B13),"")</f>
        <v/>
      </c>
      <c r="R13" s="15" t="str" cm="1">
        <f t="array" aca="1" ref="R13" ca="1">IFERROR(INDIRECT("'" &amp; R$3 &amp; "'!" &amp; $B13),"")</f>
        <v/>
      </c>
      <c r="T13" s="125"/>
    </row>
    <row r="14" spans="1:20" outlineLevel="1">
      <c r="A14" s="643" t="s">
        <v>388</v>
      </c>
      <c r="B14" s="645" t="str">
        <f>IFERROR(_xlfn.XLOOKUP(A14,Listes!$F$2:$F$50,Listes!$G$2:$G$50,""),"")</f>
        <v>G55</v>
      </c>
      <c r="C14" s="17" cm="1">
        <f t="array" aca="1" ref="C14" ca="1">IFERROR(INDIRECT("'" &amp; C$3 &amp; "'!" &amp; $B14),"")</f>
        <v>0.28871488779419818</v>
      </c>
      <c r="D14" s="17" cm="1">
        <f t="array" aca="1" ref="D14" ca="1">IFERROR(INDIRECT("'" &amp; D$3 &amp; "'!" &amp; $B14),"")</f>
        <v>0.28871488779419818</v>
      </c>
      <c r="E14" s="17" cm="1">
        <f t="array" aca="1" ref="E14" ca="1">IFERROR(INDIRECT("'" &amp; E$3 &amp; "'!" &amp; $B14),"")</f>
        <v>0.28871488779419818</v>
      </c>
      <c r="F14" s="17" cm="1">
        <f t="array" aca="1" ref="F14" ca="1">IFERROR(INDIRECT("'" &amp; F$3 &amp; "'!" &amp; $B14),"")</f>
        <v>0.28871488779419818</v>
      </c>
      <c r="G14" s="17" cm="1">
        <f t="array" aca="1" ref="G14" ca="1">IFERROR(INDIRECT("'" &amp; G$3 &amp; "'!" &amp; $B14),"")</f>
        <v>0.28871488779419818</v>
      </c>
      <c r="H14" s="17" cm="1">
        <f t="array" aca="1" ref="H14" ca="1">IFERROR(INDIRECT("'" &amp; H$3 &amp; "'!" &amp; $B14),"")</f>
        <v>0.28871488779419818</v>
      </c>
      <c r="I14" s="17" cm="1">
        <f t="array" aca="1" ref="I14" ca="1">IFERROR(INDIRECT("'" &amp; I$3 &amp; "'!" &amp; $B14),"")</f>
        <v>0.28871488779419818</v>
      </c>
      <c r="J14" s="17" cm="1">
        <f t="array" aca="1" ref="J14" ca="1">IFERROR(INDIRECT("'" &amp; J$3 &amp; "'!" &amp; $B14),"")</f>
        <v>0.28871488779419818</v>
      </c>
      <c r="K14" s="17" t="str" cm="1">
        <f t="array" aca="1" ref="K14" ca="1">IFERROR(INDIRECT("'" &amp; K$3 &amp; "'!" &amp; $B14),"")</f>
        <v/>
      </c>
      <c r="L14" s="17" t="str" cm="1">
        <f t="array" aca="1" ref="L14" ca="1">IFERROR(INDIRECT("'" &amp; L$3 &amp; "'!" &amp; $B14),"")</f>
        <v/>
      </c>
      <c r="M14" s="17" t="str" cm="1">
        <f t="array" aca="1" ref="M14" ca="1">IFERROR(INDIRECT("'" &amp; M$3 &amp; "'!" &amp; $B14),"")</f>
        <v/>
      </c>
      <c r="N14" s="17" t="str" cm="1">
        <f t="array" aca="1" ref="N14" ca="1">IFERROR(INDIRECT("'" &amp; N$3 &amp; "'!" &amp; $B14),"")</f>
        <v/>
      </c>
      <c r="O14" s="17" t="str" cm="1">
        <f t="array" aca="1" ref="O14" ca="1">IFERROR(INDIRECT("'" &amp; O$3 &amp; "'!" &amp; $B14),"")</f>
        <v/>
      </c>
      <c r="P14" s="17" t="str" cm="1">
        <f t="array" aca="1" ref="P14" ca="1">IFERROR(INDIRECT("'" &amp; P$3 &amp; "'!" &amp; $B14),"")</f>
        <v/>
      </c>
      <c r="Q14" s="17" t="str" cm="1">
        <f t="array" aca="1" ref="Q14" ca="1">IFERROR(INDIRECT("'" &amp; Q$3 &amp; "'!" &amp; $B14),"")</f>
        <v/>
      </c>
      <c r="R14" s="17" t="str" cm="1">
        <f t="array" aca="1" ref="R14" ca="1">IFERROR(INDIRECT("'" &amp; R$3 &amp; "'!" &amp; $B14),"")</f>
        <v/>
      </c>
      <c r="T14" s="125"/>
    </row>
    <row r="15" spans="1:20" outlineLevel="1">
      <c r="A15" s="643" t="s">
        <v>392</v>
      </c>
      <c r="B15" s="645" t="str">
        <f>IFERROR(_xlfn.XLOOKUP(A15,Listes!$F$2:$F$50,Listes!$G$2:$G$50,""),"")</f>
        <v>K55</v>
      </c>
      <c r="C15" s="17" cm="1">
        <f t="array" aca="1" ref="C15" ca="1">IFERROR(INDIRECT("'" &amp; C$3 &amp; "'!" &amp; $B15),"")</f>
        <v>0.25101280628507294</v>
      </c>
      <c r="D15" s="17" cm="1">
        <f t="array" aca="1" ref="D15" ca="1">IFERROR(INDIRECT("'" &amp; D$3 &amp; "'!" &amp; $B15),"")</f>
        <v>0.25101280628507294</v>
      </c>
      <c r="E15" s="17" cm="1">
        <f t="array" aca="1" ref="E15" ca="1">IFERROR(INDIRECT("'" &amp; E$3 &amp; "'!" &amp; $B15),"")</f>
        <v>0.25101280628507294</v>
      </c>
      <c r="F15" s="17" cm="1">
        <f t="array" aca="1" ref="F15" ca="1">IFERROR(INDIRECT("'" &amp; F$3 &amp; "'!" &amp; $B15),"")</f>
        <v>0.25101280628507294</v>
      </c>
      <c r="G15" s="17" cm="1">
        <f t="array" aca="1" ref="G15" ca="1">IFERROR(INDIRECT("'" &amp; G$3 &amp; "'!" &amp; $B15),"")</f>
        <v>0.25101280628507294</v>
      </c>
      <c r="H15" s="17" cm="1">
        <f t="array" aca="1" ref="H15" ca="1">IFERROR(INDIRECT("'" &amp; H$3 &amp; "'!" &amp; $B15),"")</f>
        <v>0.25101280628507294</v>
      </c>
      <c r="I15" s="17" cm="1">
        <f t="array" aca="1" ref="I15" ca="1">IFERROR(INDIRECT("'" &amp; I$3 &amp; "'!" &amp; $B15),"")</f>
        <v>0.25101280628507294</v>
      </c>
      <c r="J15" s="17" cm="1">
        <f t="array" aca="1" ref="J15" ca="1">IFERROR(INDIRECT("'" &amp; J$3 &amp; "'!" &amp; $B15),"")</f>
        <v>0.25101280628507294</v>
      </c>
      <c r="K15" s="17" t="str" cm="1">
        <f t="array" aca="1" ref="K15" ca="1">IFERROR(INDIRECT("'" &amp; K$3 &amp; "'!" &amp; $B15),"")</f>
        <v/>
      </c>
      <c r="L15" s="17" t="str" cm="1">
        <f t="array" aca="1" ref="L15" ca="1">IFERROR(INDIRECT("'" &amp; L$3 &amp; "'!" &amp; $B15),"")</f>
        <v/>
      </c>
      <c r="M15" s="17" t="str" cm="1">
        <f t="array" aca="1" ref="M15" ca="1">IFERROR(INDIRECT("'" &amp; M$3 &amp; "'!" &amp; $B15),"")</f>
        <v/>
      </c>
      <c r="N15" s="17" t="str" cm="1">
        <f t="array" aca="1" ref="N15" ca="1">IFERROR(INDIRECT("'" &amp; N$3 &amp; "'!" &amp; $B15),"")</f>
        <v/>
      </c>
      <c r="O15" s="17" t="str" cm="1">
        <f t="array" aca="1" ref="O15" ca="1">IFERROR(INDIRECT("'" &amp; O$3 &amp; "'!" &amp; $B15),"")</f>
        <v/>
      </c>
      <c r="P15" s="17" t="str" cm="1">
        <f t="array" aca="1" ref="P15" ca="1">IFERROR(INDIRECT("'" &amp; P$3 &amp; "'!" &amp; $B15),"")</f>
        <v/>
      </c>
      <c r="Q15" s="17" t="str" cm="1">
        <f t="array" aca="1" ref="Q15" ca="1">IFERROR(INDIRECT("'" &amp; Q$3 &amp; "'!" &amp; $B15),"")</f>
        <v/>
      </c>
      <c r="R15" s="17" t="str" cm="1">
        <f t="array" aca="1" ref="R15" ca="1">IFERROR(INDIRECT("'" &amp; R$3 &amp; "'!" &amp; $B15),"")</f>
        <v/>
      </c>
      <c r="T15" s="125"/>
    </row>
    <row r="16" spans="1:20" outlineLevel="1">
      <c r="A16" s="643" t="s">
        <v>391</v>
      </c>
      <c r="B16" s="645" t="str">
        <f>IFERROR(_xlfn.XLOOKUP(A16,Listes!$F$2:$F$50,Listes!$G$2:$G$50,""),"")</f>
        <v>H33</v>
      </c>
      <c r="C16" s="17" cm="1">
        <f t="array" aca="1" ref="C16" ca="1">IFERROR(INDIRECT("'" &amp; C$3 &amp; "'!" &amp; $B16),"")</f>
        <v>0.72032302138783477</v>
      </c>
      <c r="D16" s="17" cm="1">
        <f t="array" aca="1" ref="D16" ca="1">IFERROR(INDIRECT("'" &amp; D$3 &amp; "'!" &amp; $B16),"")</f>
        <v>0.72032302138783477</v>
      </c>
      <c r="E16" s="17" cm="1">
        <f t="array" aca="1" ref="E16" ca="1">IFERROR(INDIRECT("'" &amp; E$3 &amp; "'!" &amp; $B16),"")</f>
        <v>0.72032302138783477</v>
      </c>
      <c r="F16" s="17" cm="1">
        <f t="array" aca="1" ref="F16" ca="1">IFERROR(INDIRECT("'" &amp; F$3 &amp; "'!" &amp; $B16),"")</f>
        <v>0.72032302138783477</v>
      </c>
      <c r="G16" s="17" cm="1">
        <f t="array" aca="1" ref="G16" ca="1">IFERROR(INDIRECT("'" &amp; G$3 &amp; "'!" &amp; $B16),"")</f>
        <v>0.72032302138783477</v>
      </c>
      <c r="H16" s="17" cm="1">
        <f t="array" aca="1" ref="H16" ca="1">IFERROR(INDIRECT("'" &amp; H$3 &amp; "'!" &amp; $B16),"")</f>
        <v>0.72032302138783477</v>
      </c>
      <c r="I16" s="17" cm="1">
        <f t="array" aca="1" ref="I16" ca="1">IFERROR(INDIRECT("'" &amp; I$3 &amp; "'!" &amp; $B16),"")</f>
        <v>0.72032302138783477</v>
      </c>
      <c r="J16" s="17" cm="1">
        <f t="array" aca="1" ref="J16" ca="1">IFERROR(INDIRECT("'" &amp; J$3 &amp; "'!" &amp; $B16),"")</f>
        <v>0.72032302138783477</v>
      </c>
      <c r="K16" s="17" t="str" cm="1">
        <f t="array" aca="1" ref="K16" ca="1">IFERROR(INDIRECT("'" &amp; K$3 &amp; "'!" &amp; $B16),"")</f>
        <v/>
      </c>
      <c r="L16" s="17" t="str" cm="1">
        <f t="array" aca="1" ref="L16" ca="1">IFERROR(INDIRECT("'" &amp; L$3 &amp; "'!" &amp; $B16),"")</f>
        <v/>
      </c>
      <c r="M16" s="17" t="str" cm="1">
        <f t="array" aca="1" ref="M16" ca="1">IFERROR(INDIRECT("'" &amp; M$3 &amp; "'!" &amp; $B16),"")</f>
        <v/>
      </c>
      <c r="N16" s="17" t="str" cm="1">
        <f t="array" aca="1" ref="N16" ca="1">IFERROR(INDIRECT("'" &amp; N$3 &amp; "'!" &amp; $B16),"")</f>
        <v/>
      </c>
      <c r="O16" s="17" t="str" cm="1">
        <f t="array" aca="1" ref="O16" ca="1">IFERROR(INDIRECT("'" &amp; O$3 &amp; "'!" &amp; $B16),"")</f>
        <v/>
      </c>
      <c r="P16" s="17" t="str" cm="1">
        <f t="array" aca="1" ref="P16" ca="1">IFERROR(INDIRECT("'" &amp; P$3 &amp; "'!" &amp; $B16),"")</f>
        <v/>
      </c>
      <c r="Q16" s="17" t="str" cm="1">
        <f t="array" aca="1" ref="Q16" ca="1">IFERROR(INDIRECT("'" &amp; Q$3 &amp; "'!" &amp; $B16),"")</f>
        <v/>
      </c>
      <c r="R16" s="17" t="str" cm="1">
        <f t="array" aca="1" ref="R16" ca="1">IFERROR(INDIRECT("'" &amp; R$3 &amp; "'!" &amp; $B16),"")</f>
        <v/>
      </c>
      <c r="T16" s="125"/>
    </row>
    <row r="17" spans="1:22" outlineLevel="1">
      <c r="A17" s="643" t="s">
        <v>380</v>
      </c>
      <c r="B17" s="645" t="str">
        <f>IFERROR(_xlfn.XLOOKUP(A17,Listes!$F$2:$F$50,Listes!$G$2:$G$50,""),"")</f>
        <v>H43</v>
      </c>
      <c r="C17" s="17" cm="1">
        <f t="array" aca="1" ref="C17" ca="1">IFERROR(INDIRECT("'" &amp; C$3 &amp; "'!" &amp; $B17),"")</f>
        <v>0.27414389985935073</v>
      </c>
      <c r="D17" s="17" cm="1">
        <f t="array" aca="1" ref="D17" ca="1">IFERROR(INDIRECT("'" &amp; D$3 &amp; "'!" &amp; $B17),"")</f>
        <v>0.27414389985935073</v>
      </c>
      <c r="E17" s="17" cm="1">
        <f t="array" aca="1" ref="E17" ca="1">IFERROR(INDIRECT("'" &amp; E$3 &amp; "'!" &amp; $B17),"")</f>
        <v>0.27414389985935073</v>
      </c>
      <c r="F17" s="17" cm="1">
        <f t="array" aca="1" ref="F17" ca="1">IFERROR(INDIRECT("'" &amp; F$3 &amp; "'!" &amp; $B17),"")</f>
        <v>0.27414389985935073</v>
      </c>
      <c r="G17" s="17" cm="1">
        <f t="array" aca="1" ref="G17" ca="1">IFERROR(INDIRECT("'" &amp; G$3 &amp; "'!" &amp; $B17),"")</f>
        <v>0.27414389985935073</v>
      </c>
      <c r="H17" s="17" cm="1">
        <f t="array" aca="1" ref="H17" ca="1">IFERROR(INDIRECT("'" &amp; H$3 &amp; "'!" &amp; $B17),"")</f>
        <v>0.27414389985935073</v>
      </c>
      <c r="I17" s="17" cm="1">
        <f t="array" aca="1" ref="I17" ca="1">IFERROR(INDIRECT("'" &amp; I$3 &amp; "'!" &amp; $B17),"")</f>
        <v>0.27414389985935073</v>
      </c>
      <c r="J17" s="17" cm="1">
        <f t="array" aca="1" ref="J17" ca="1">IFERROR(INDIRECT("'" &amp; J$3 &amp; "'!" &amp; $B17),"")</f>
        <v>0.27414389985935073</v>
      </c>
      <c r="K17" s="17" t="str" cm="1">
        <f t="array" aca="1" ref="K17" ca="1">IFERROR(INDIRECT("'" &amp; K$3 &amp; "'!" &amp; $B17),"")</f>
        <v/>
      </c>
      <c r="L17" s="17" t="str" cm="1">
        <f t="array" aca="1" ref="L17" ca="1">IFERROR(INDIRECT("'" &amp; L$3 &amp; "'!" &amp; $B17),"")</f>
        <v/>
      </c>
      <c r="M17" s="17" t="str" cm="1">
        <f t="array" aca="1" ref="M17" ca="1">IFERROR(INDIRECT("'" &amp; M$3 &amp; "'!" &amp; $B17),"")</f>
        <v/>
      </c>
      <c r="N17" s="17" t="str" cm="1">
        <f t="array" aca="1" ref="N17" ca="1">IFERROR(INDIRECT("'" &amp; N$3 &amp; "'!" &amp; $B17),"")</f>
        <v/>
      </c>
      <c r="O17" s="17" t="str" cm="1">
        <f t="array" aca="1" ref="O17" ca="1">IFERROR(INDIRECT("'" &amp; O$3 &amp; "'!" &amp; $B17),"")</f>
        <v/>
      </c>
      <c r="P17" s="17" t="str" cm="1">
        <f t="array" aca="1" ref="P17" ca="1">IFERROR(INDIRECT("'" &amp; P$3 &amp; "'!" &amp; $B17),"")</f>
        <v/>
      </c>
      <c r="Q17" s="17" t="str" cm="1">
        <f t="array" aca="1" ref="Q17" ca="1">IFERROR(INDIRECT("'" &amp; Q$3 &amp; "'!" &amp; $B17),"")</f>
        <v/>
      </c>
      <c r="R17" s="17" t="str" cm="1">
        <f t="array" aca="1" ref="R17" ca="1">IFERROR(INDIRECT("'" &amp; R$3 &amp; "'!" &amp; $B17),"")</f>
        <v/>
      </c>
      <c r="T17" s="125"/>
    </row>
    <row r="18" spans="1:22" outlineLevel="1">
      <c r="A18" s="643" t="s">
        <v>381</v>
      </c>
      <c r="B18" s="645" t="str">
        <f>IFERROR(_xlfn.XLOOKUP(A18,Listes!$F$2:$F$50,Listes!$G$2:$G$50,""),"")</f>
        <v>H44</v>
      </c>
      <c r="C18" s="17" cm="1">
        <f t="array" aca="1" ref="C18" ca="1">IFERROR(INDIRECT("'" &amp; C$3 &amp; "'!" &amp; $B18),"")</f>
        <v>5.5330787528145515E-3</v>
      </c>
      <c r="D18" s="17" cm="1">
        <f t="array" aca="1" ref="D18" ca="1">IFERROR(INDIRECT("'" &amp; D$3 &amp; "'!" &amp; $B18),"")</f>
        <v>5.5330787528145515E-3</v>
      </c>
      <c r="E18" s="17" cm="1">
        <f t="array" aca="1" ref="E18" ca="1">IFERROR(INDIRECT("'" &amp; E$3 &amp; "'!" &amp; $B18),"")</f>
        <v>5.5330787528145515E-3</v>
      </c>
      <c r="F18" s="17" cm="1">
        <f t="array" aca="1" ref="F18" ca="1">IFERROR(INDIRECT("'" &amp; F$3 &amp; "'!" &amp; $B18),"")</f>
        <v>5.5330787528145515E-3</v>
      </c>
      <c r="G18" s="17" cm="1">
        <f t="array" aca="1" ref="G18" ca="1">IFERROR(INDIRECT("'" &amp; G$3 &amp; "'!" &amp; $B18),"")</f>
        <v>5.5330787528145515E-3</v>
      </c>
      <c r="H18" s="17" cm="1">
        <f t="array" aca="1" ref="H18" ca="1">IFERROR(INDIRECT("'" &amp; H$3 &amp; "'!" &amp; $B18),"")</f>
        <v>5.5330787528145515E-3</v>
      </c>
      <c r="I18" s="17" cm="1">
        <f t="array" aca="1" ref="I18" ca="1">IFERROR(INDIRECT("'" &amp; I$3 &amp; "'!" &amp; $B18),"")</f>
        <v>5.5330787528145515E-3</v>
      </c>
      <c r="J18" s="17" cm="1">
        <f t="array" aca="1" ref="J18" ca="1">IFERROR(INDIRECT("'" &amp; J$3 &amp; "'!" &amp; $B18),"")</f>
        <v>5.5330787528145515E-3</v>
      </c>
      <c r="K18" s="17" t="str" cm="1">
        <f t="array" aca="1" ref="K18" ca="1">IFERROR(INDIRECT("'" &amp; K$3 &amp; "'!" &amp; $B18),"")</f>
        <v/>
      </c>
      <c r="L18" s="17" t="str" cm="1">
        <f t="array" aca="1" ref="L18" ca="1">IFERROR(INDIRECT("'" &amp; L$3 &amp; "'!" &amp; $B18),"")</f>
        <v/>
      </c>
      <c r="M18" s="17" t="str" cm="1">
        <f t="array" aca="1" ref="M18" ca="1">IFERROR(INDIRECT("'" &amp; M$3 &amp; "'!" &amp; $B18),"")</f>
        <v/>
      </c>
      <c r="N18" s="17" t="str" cm="1">
        <f t="array" aca="1" ref="N18" ca="1">IFERROR(INDIRECT("'" &amp; N$3 &amp; "'!" &amp; $B18),"")</f>
        <v/>
      </c>
      <c r="O18" s="17" t="str" cm="1">
        <f t="array" aca="1" ref="O18" ca="1">IFERROR(INDIRECT("'" &amp; O$3 &amp; "'!" &amp; $B18),"")</f>
        <v/>
      </c>
      <c r="P18" s="17" t="str" cm="1">
        <f t="array" aca="1" ref="P18" ca="1">IFERROR(INDIRECT("'" &amp; P$3 &amp; "'!" &amp; $B18),"")</f>
        <v/>
      </c>
      <c r="Q18" s="17" t="str" cm="1">
        <f t="array" aca="1" ref="Q18" ca="1">IFERROR(INDIRECT("'" &amp; Q$3 &amp; "'!" &amp; $B18),"")</f>
        <v/>
      </c>
      <c r="R18" s="17" t="str" cm="1">
        <f t="array" aca="1" ref="R18" ca="1">IFERROR(INDIRECT("'" &amp; R$3 &amp; "'!" &amp; $B18),"")</f>
        <v/>
      </c>
      <c r="T18" s="125"/>
    </row>
    <row r="19" spans="1:22" outlineLevel="1">
      <c r="A19" s="643" t="s">
        <v>504</v>
      </c>
      <c r="B19" s="645" t="str">
        <f>IFERROR(_xlfn.XLOOKUP(A19,Listes!$F$2:$F$50,Listes!$G$2:$G$50,""),"")</f>
        <v>C78</v>
      </c>
      <c r="C19" s="15" cm="1">
        <f t="array" aca="1" ref="C19" ca="1">IFERROR(INDIRECT("'" &amp; C$3 &amp; "'!" &amp; $B19),"")</f>
        <v>0.77777777777777779</v>
      </c>
      <c r="D19" s="15" cm="1">
        <f t="array" aca="1" ref="D19" ca="1">IFERROR(INDIRECT("'" &amp; D$3 &amp; "'!" &amp; $B19),"")</f>
        <v>0.77777777777777779</v>
      </c>
      <c r="E19" s="15" cm="1">
        <f t="array" aca="1" ref="E19" ca="1">IFERROR(INDIRECT("'" &amp; E$3 &amp; "'!" &amp; $B19),"")</f>
        <v>0.77777777777777779</v>
      </c>
      <c r="F19" s="15" cm="1">
        <f t="array" aca="1" ref="F19" ca="1">IFERROR(INDIRECT("'" &amp; F$3 &amp; "'!" &amp; $B19),"")</f>
        <v>0.77777777777777779</v>
      </c>
      <c r="G19" s="15" cm="1">
        <f t="array" aca="1" ref="G19" ca="1">IFERROR(INDIRECT("'" &amp; G$3 &amp; "'!" &amp; $B19),"")</f>
        <v>0.77777777777777779</v>
      </c>
      <c r="H19" s="15" cm="1">
        <f t="array" aca="1" ref="H19" ca="1">IFERROR(INDIRECT("'" &amp; H$3 &amp; "'!" &amp; $B19),"")</f>
        <v>0.77777777777777779</v>
      </c>
      <c r="I19" s="15" cm="1">
        <f t="array" aca="1" ref="I19" ca="1">IFERROR(INDIRECT("'" &amp; I$3 &amp; "'!" &amp; $B19),"")</f>
        <v>0.77777777777777779</v>
      </c>
      <c r="J19" s="15" cm="1">
        <f t="array" aca="1" ref="J19" ca="1">IFERROR(INDIRECT("'" &amp; J$3 &amp; "'!" &amp; $B19),"")</f>
        <v>0.77777777777777779</v>
      </c>
      <c r="K19" s="15" t="str" cm="1">
        <f t="array" aca="1" ref="K19" ca="1">IFERROR(INDIRECT("'" &amp; K$3 &amp; "'!" &amp; $B19),"")</f>
        <v/>
      </c>
      <c r="L19" s="15" t="str" cm="1">
        <f t="array" aca="1" ref="L19" ca="1">IFERROR(INDIRECT("'" &amp; L$3 &amp; "'!" &amp; $B19),"")</f>
        <v/>
      </c>
      <c r="M19" s="15" t="str" cm="1">
        <f t="array" aca="1" ref="M19" ca="1">IFERROR(INDIRECT("'" &amp; M$3 &amp; "'!" &amp; $B19),"")</f>
        <v/>
      </c>
      <c r="N19" s="15" t="str" cm="1">
        <f t="array" aca="1" ref="N19" ca="1">IFERROR(INDIRECT("'" &amp; N$3 &amp; "'!" &amp; $B19),"")</f>
        <v/>
      </c>
      <c r="O19" s="15" t="str" cm="1">
        <f t="array" aca="1" ref="O19" ca="1">IFERROR(INDIRECT("'" &amp; O$3 &amp; "'!" &amp; $B19),"")</f>
        <v/>
      </c>
      <c r="P19" s="15" t="str" cm="1">
        <f t="array" aca="1" ref="P19" ca="1">IFERROR(INDIRECT("'" &amp; P$3 &amp; "'!" &amp; $B19),"")</f>
        <v/>
      </c>
      <c r="Q19" s="15" t="str" cm="1">
        <f t="array" aca="1" ref="Q19" ca="1">IFERROR(INDIRECT("'" &amp; Q$3 &amp; "'!" &amp; $B19),"")</f>
        <v/>
      </c>
      <c r="R19" s="15" t="str" cm="1">
        <f t="array" aca="1" ref="R19" ca="1">IFERROR(INDIRECT("'" &amp; R$3 &amp; "'!" &amp; $B19),"")</f>
        <v/>
      </c>
      <c r="T19" s="125"/>
    </row>
    <row r="20" spans="1:22" outlineLevel="1">
      <c r="A20" s="643" t="s">
        <v>409</v>
      </c>
      <c r="B20" s="645" t="str">
        <f>IFERROR(_xlfn.XLOOKUP(A20,Listes!$F$2:$F$50,Listes!$G$2:$G$50,""),"")</f>
        <v>G52</v>
      </c>
      <c r="C20" s="15" cm="1">
        <f t="array" aca="1" ref="C20" ca="1">IFERROR(INDIRECT("'" &amp; C$3 &amp; "'!" &amp; $B20),"")</f>
        <v>135.36644791666666</v>
      </c>
      <c r="D20" s="15" cm="1">
        <f t="array" aca="1" ref="D20" ca="1">IFERROR(INDIRECT("'" &amp; D$3 &amp; "'!" &amp; $B20),"")</f>
        <v>135.36644791666666</v>
      </c>
      <c r="E20" s="15" cm="1">
        <f t="array" aca="1" ref="E20" ca="1">IFERROR(INDIRECT("'" &amp; E$3 &amp; "'!" &amp; $B20),"")</f>
        <v>135.36644791666666</v>
      </c>
      <c r="F20" s="15" cm="1">
        <f t="array" aca="1" ref="F20" ca="1">IFERROR(INDIRECT("'" &amp; F$3 &amp; "'!" &amp; $B20),"")</f>
        <v>135.36644791666666</v>
      </c>
      <c r="G20" s="15" cm="1">
        <f t="array" aca="1" ref="G20" ca="1">IFERROR(INDIRECT("'" &amp; G$3 &amp; "'!" &amp; $B20),"")</f>
        <v>135.36644791666666</v>
      </c>
      <c r="H20" s="15" cm="1">
        <f t="array" aca="1" ref="H20" ca="1">IFERROR(INDIRECT("'" &amp; H$3 &amp; "'!" &amp; $B20),"")</f>
        <v>135.36644791666666</v>
      </c>
      <c r="I20" s="15" cm="1">
        <f t="array" aca="1" ref="I20" ca="1">IFERROR(INDIRECT("'" &amp; I$3 &amp; "'!" &amp; $B20),"")</f>
        <v>135.36644791666666</v>
      </c>
      <c r="J20" s="15" cm="1">
        <f t="array" aca="1" ref="J20" ca="1">IFERROR(INDIRECT("'" &amp; J$3 &amp; "'!" &amp; $B20),"")</f>
        <v>135.36644791666666</v>
      </c>
      <c r="K20" s="15" t="str" cm="1">
        <f t="array" aca="1" ref="K20" ca="1">IFERROR(INDIRECT("'" &amp; K$3 &amp; "'!" &amp; $B20),"")</f>
        <v/>
      </c>
      <c r="L20" s="15" t="str" cm="1">
        <f t="array" aca="1" ref="L20" ca="1">IFERROR(INDIRECT("'" &amp; L$3 &amp; "'!" &amp; $B20),"")</f>
        <v/>
      </c>
      <c r="M20" s="15" t="str" cm="1">
        <f t="array" aca="1" ref="M20" ca="1">IFERROR(INDIRECT("'" &amp; M$3 &amp; "'!" &amp; $B20),"")</f>
        <v/>
      </c>
      <c r="N20" s="15" t="str" cm="1">
        <f t="array" aca="1" ref="N20" ca="1">IFERROR(INDIRECT("'" &amp; N$3 &amp; "'!" &amp; $B20),"")</f>
        <v/>
      </c>
      <c r="O20" s="15" t="str" cm="1">
        <f t="array" aca="1" ref="O20" ca="1">IFERROR(INDIRECT("'" &amp; O$3 &amp; "'!" &amp; $B20),"")</f>
        <v/>
      </c>
      <c r="P20" s="15" t="str" cm="1">
        <f t="array" aca="1" ref="P20" ca="1">IFERROR(INDIRECT("'" &amp; P$3 &amp; "'!" &amp; $B20),"")</f>
        <v/>
      </c>
      <c r="Q20" s="15" t="str" cm="1">
        <f t="array" aca="1" ref="Q20" ca="1">IFERROR(INDIRECT("'" &amp; Q$3 &amp; "'!" &amp; $B20),"")</f>
        <v/>
      </c>
      <c r="R20" s="15" t="str" cm="1">
        <f t="array" aca="1" ref="R20" ca="1">IFERROR(INDIRECT("'" &amp; R$3 &amp; "'!" &amp; $B20),"")</f>
        <v/>
      </c>
      <c r="T20" s="125"/>
    </row>
    <row r="21" spans="1:22" outlineLevel="1">
      <c r="A21" s="648" t="s">
        <v>410</v>
      </c>
      <c r="B21" s="645" t="str">
        <f>IFERROR(_xlfn.XLOOKUP(A21,Listes!$F$2:$F$50,Listes!$G$2:$G$50,""),"")</f>
        <v>K52</v>
      </c>
      <c r="C21" s="15" cm="1">
        <f t="array" aca="1" ref="C21" ca="1">IFERROR(INDIRECT("'" &amp; C$3 &amp; "'!" &amp; $B21),"")</f>
        <v>163.95135357704405</v>
      </c>
      <c r="D21" s="15" cm="1">
        <f t="array" aca="1" ref="D21" ca="1">IFERROR(INDIRECT("'" &amp; D$3 &amp; "'!" &amp; $B21),"")</f>
        <v>163.95135357704405</v>
      </c>
      <c r="E21" s="15" cm="1">
        <f t="array" aca="1" ref="E21" ca="1">IFERROR(INDIRECT("'" &amp; E$3 &amp; "'!" &amp; $B21),"")</f>
        <v>163.95135357704405</v>
      </c>
      <c r="F21" s="15" cm="1">
        <f t="array" aca="1" ref="F21" ca="1">IFERROR(INDIRECT("'" &amp; F$3 &amp; "'!" &amp; $B21),"")</f>
        <v>163.95135357704405</v>
      </c>
      <c r="G21" s="15" cm="1">
        <f t="array" aca="1" ref="G21" ca="1">IFERROR(INDIRECT("'" &amp; G$3 &amp; "'!" &amp; $B21),"")</f>
        <v>163.95135357704405</v>
      </c>
      <c r="H21" s="15" cm="1">
        <f t="array" aca="1" ref="H21" ca="1">IFERROR(INDIRECT("'" &amp; H$3 &amp; "'!" &amp; $B21),"")</f>
        <v>163.95135357704405</v>
      </c>
      <c r="I21" s="15" cm="1">
        <f t="array" aca="1" ref="I21" ca="1">IFERROR(INDIRECT("'" &amp; I$3 &amp; "'!" &amp; $B21),"")</f>
        <v>163.95135357704405</v>
      </c>
      <c r="J21" s="15" cm="1">
        <f t="array" aca="1" ref="J21" ca="1">IFERROR(INDIRECT("'" &amp; J$3 &amp; "'!" &amp; $B21),"")</f>
        <v>163.95135357704405</v>
      </c>
      <c r="K21" s="15" t="str" cm="1">
        <f t="array" aca="1" ref="K21" ca="1">IFERROR(INDIRECT("'" &amp; K$3 &amp; "'!" &amp; $B21),"")</f>
        <v/>
      </c>
      <c r="L21" s="15" t="str" cm="1">
        <f t="array" aca="1" ref="L21" ca="1">IFERROR(INDIRECT("'" &amp; L$3 &amp; "'!" &amp; $B21),"")</f>
        <v/>
      </c>
      <c r="M21" s="15" t="str" cm="1">
        <f t="array" aca="1" ref="M21" ca="1">IFERROR(INDIRECT("'" &amp; M$3 &amp; "'!" &amp; $B21),"")</f>
        <v/>
      </c>
      <c r="N21" s="15" t="str" cm="1">
        <f t="array" aca="1" ref="N21" ca="1">IFERROR(INDIRECT("'" &amp; N$3 &amp; "'!" &amp; $B21),"")</f>
        <v/>
      </c>
      <c r="O21" s="15" t="str" cm="1">
        <f t="array" aca="1" ref="O21" ca="1">IFERROR(INDIRECT("'" &amp; O$3 &amp; "'!" &amp; $B21),"")</f>
        <v/>
      </c>
      <c r="P21" s="15" t="str" cm="1">
        <f t="array" aca="1" ref="P21" ca="1">IFERROR(INDIRECT("'" &amp; P$3 &amp; "'!" &amp; $B21),"")</f>
        <v/>
      </c>
      <c r="Q21" s="15" t="str" cm="1">
        <f t="array" aca="1" ref="Q21" ca="1">IFERROR(INDIRECT("'" &amp; Q$3 &amp; "'!" &amp; $B21),"")</f>
        <v/>
      </c>
      <c r="R21" s="15" t="str" cm="1">
        <f t="array" aca="1" ref="R21" ca="1">IFERROR(INDIRECT("'" &amp; R$3 &amp; "'!" &amp; $B21),"")</f>
        <v/>
      </c>
      <c r="T21" s="127"/>
      <c r="U21" s="127"/>
      <c r="V21" s="127"/>
    </row>
    <row r="22" spans="1:22" outlineLevel="1">
      <c r="A22" s="648" t="s">
        <v>471</v>
      </c>
      <c r="B22" s="645" t="str">
        <f>IFERROR(_xlfn.XLOOKUP(A22,Listes!$F$2:$F$50,Listes!$G$2:$G$50,""),"")</f>
        <v>C73</v>
      </c>
      <c r="C22" s="18" cm="1">
        <f t="array" aca="1" ref="C22" ca="1">IFERROR(INDIRECT("'" &amp; C$3 &amp; "'!" &amp; $B22),"")</f>
        <v>288</v>
      </c>
      <c r="D22" s="18" cm="1">
        <f t="array" aca="1" ref="D22" ca="1">IFERROR(INDIRECT("'" &amp; D$3 &amp; "'!" &amp; $B22),"")</f>
        <v>288</v>
      </c>
      <c r="E22" s="18" cm="1">
        <f t="array" aca="1" ref="E22" ca="1">IFERROR(INDIRECT("'" &amp; E$3 &amp; "'!" &amp; $B22),"")</f>
        <v>288</v>
      </c>
      <c r="F22" s="18" cm="1">
        <f t="array" aca="1" ref="F22" ca="1">IFERROR(INDIRECT("'" &amp; F$3 &amp; "'!" &amp; $B22),"")</f>
        <v>288</v>
      </c>
      <c r="G22" s="18" cm="1">
        <f t="array" aca="1" ref="G22" ca="1">IFERROR(INDIRECT("'" &amp; G$3 &amp; "'!" &amp; $B22),"")</f>
        <v>288</v>
      </c>
      <c r="H22" s="18" cm="1">
        <f t="array" aca="1" ref="H22" ca="1">IFERROR(INDIRECT("'" &amp; H$3 &amp; "'!" &amp; $B22),"")</f>
        <v>288</v>
      </c>
      <c r="I22" s="18" cm="1">
        <f t="array" aca="1" ref="I22" ca="1">IFERROR(INDIRECT("'" &amp; I$3 &amp; "'!" &amp; $B22),"")</f>
        <v>288</v>
      </c>
      <c r="J22" s="18" cm="1">
        <f t="array" aca="1" ref="J22" ca="1">IFERROR(INDIRECT("'" &amp; J$3 &amp; "'!" &amp; $B22),"")</f>
        <v>288</v>
      </c>
      <c r="K22" s="18" t="str" cm="1">
        <f t="array" aca="1" ref="K22" ca="1">IFERROR(INDIRECT("'" &amp; K$3 &amp; "'!" &amp; $B22),"")</f>
        <v/>
      </c>
      <c r="L22" s="18" t="str" cm="1">
        <f t="array" aca="1" ref="L22" ca="1">IFERROR(INDIRECT("'" &amp; L$3 &amp; "'!" &amp; $B22),"")</f>
        <v/>
      </c>
      <c r="M22" s="18" t="str" cm="1">
        <f t="array" aca="1" ref="M22" ca="1">IFERROR(INDIRECT("'" &amp; M$3 &amp; "'!" &amp; $B22),"")</f>
        <v/>
      </c>
      <c r="N22" s="18" t="str" cm="1">
        <f t="array" aca="1" ref="N22" ca="1">IFERROR(INDIRECT("'" &amp; N$3 &amp; "'!" &amp; $B22),"")</f>
        <v/>
      </c>
      <c r="O22" s="18" t="str" cm="1">
        <f t="array" aca="1" ref="O22" ca="1">IFERROR(INDIRECT("'" &amp; O$3 &amp; "'!" &amp; $B22),"")</f>
        <v/>
      </c>
      <c r="P22" s="18" t="str" cm="1">
        <f t="array" aca="1" ref="P22" ca="1">IFERROR(INDIRECT("'" &amp; P$3 &amp; "'!" &amp; $B22),"")</f>
        <v/>
      </c>
      <c r="Q22" s="18" t="str" cm="1">
        <f t="array" aca="1" ref="Q22" ca="1">IFERROR(INDIRECT("'" &amp; Q$3 &amp; "'!" &amp; $B22),"")</f>
        <v/>
      </c>
      <c r="R22" s="18" t="str" cm="1">
        <f t="array" aca="1" ref="R22" ca="1">IFERROR(INDIRECT("'" &amp; R$3 &amp; "'!" &amp; $B22),"")</f>
        <v/>
      </c>
      <c r="T22" s="127"/>
      <c r="U22" s="127"/>
      <c r="V22" s="127"/>
    </row>
    <row r="23" spans="1:22">
      <c r="A23" s="127"/>
      <c r="B23" s="128"/>
      <c r="C23" s="129"/>
      <c r="D23" s="129"/>
      <c r="E23" s="129"/>
      <c r="F23" s="129"/>
      <c r="G23" s="129"/>
      <c r="H23" s="129"/>
      <c r="I23" s="129"/>
      <c r="J23" s="129"/>
      <c r="K23" s="129"/>
      <c r="L23" s="129"/>
      <c r="M23" s="129"/>
      <c r="N23" s="129"/>
      <c r="O23" s="129"/>
      <c r="P23" s="129"/>
      <c r="Q23" s="129"/>
      <c r="R23" s="129"/>
      <c r="T23" s="127"/>
      <c r="U23" s="127"/>
      <c r="V23" s="127"/>
    </row>
    <row r="24" spans="1:22" ht="14.4" customHeight="1">
      <c r="A24" s="616" t="s">
        <v>187</v>
      </c>
      <c r="B24" s="617"/>
      <c r="C24" s="617"/>
      <c r="D24" s="617"/>
      <c r="E24" s="617"/>
      <c r="F24" s="617"/>
      <c r="G24" s="617"/>
      <c r="H24" s="620"/>
      <c r="I24" s="616" t="s">
        <v>187</v>
      </c>
      <c r="J24" s="617"/>
      <c r="K24" s="617"/>
      <c r="L24" s="617"/>
      <c r="M24" s="617"/>
      <c r="N24" s="617"/>
      <c r="O24" s="617"/>
      <c r="P24" s="617"/>
      <c r="Q24" s="617"/>
      <c r="R24" s="617"/>
      <c r="T24" s="621" t="s">
        <v>191</v>
      </c>
      <c r="U24" s="622"/>
      <c r="V24" s="623" t="s">
        <v>404</v>
      </c>
    </row>
    <row r="25" spans="1:22">
      <c r="A25" s="616" t="str">
        <f>"Année -2 -  : "&amp;'1. DONNEES DE BASE'!$B$1-2</f>
        <v>Année -2 -  : 2024</v>
      </c>
      <c r="B25" s="617"/>
      <c r="C25" s="617"/>
      <c r="D25" s="617"/>
      <c r="E25" s="617"/>
      <c r="F25" s="617"/>
      <c r="G25" s="617"/>
      <c r="H25" s="617"/>
      <c r="I25" s="624" t="s">
        <v>320</v>
      </c>
      <c r="J25" s="625"/>
      <c r="K25" s="625"/>
      <c r="L25" s="625"/>
      <c r="M25" s="625"/>
      <c r="N25" s="625"/>
      <c r="O25" s="625"/>
      <c r="P25" s="625"/>
      <c r="Q25" s="625"/>
      <c r="R25" s="625"/>
      <c r="T25" s="626"/>
      <c r="U25" s="627"/>
      <c r="V25" s="623"/>
    </row>
    <row r="26" spans="1:22">
      <c r="A26" s="126" t="s">
        <v>314</v>
      </c>
      <c r="B26" s="130"/>
      <c r="C26" s="131">
        <v>2000</v>
      </c>
      <c r="D26" s="131">
        <v>5000</v>
      </c>
      <c r="E26" s="131">
        <v>2000</v>
      </c>
      <c r="F26" s="131">
        <v>2000</v>
      </c>
      <c r="G26" s="132">
        <v>2000</v>
      </c>
      <c r="H26" s="131">
        <v>1700</v>
      </c>
      <c r="I26" s="131">
        <v>0</v>
      </c>
      <c r="J26" s="131">
        <v>0</v>
      </c>
      <c r="K26" s="131">
        <v>0</v>
      </c>
      <c r="L26" s="131">
        <v>0</v>
      </c>
      <c r="M26" s="131">
        <v>0</v>
      </c>
      <c r="N26" s="131">
        <v>0</v>
      </c>
      <c r="O26" s="131">
        <v>0</v>
      </c>
      <c r="P26" s="131">
        <v>0</v>
      </c>
      <c r="Q26" s="131">
        <v>0</v>
      </c>
      <c r="R26" s="131">
        <v>0</v>
      </c>
      <c r="T26" s="133"/>
      <c r="U26" s="133"/>
      <c r="V26" s="133"/>
    </row>
    <row r="27" spans="1:22">
      <c r="A27" s="126" t="s">
        <v>186</v>
      </c>
      <c r="B27" s="130"/>
      <c r="C27" s="134">
        <v>0</v>
      </c>
      <c r="D27" s="134">
        <v>0</v>
      </c>
      <c r="E27" s="134">
        <v>0</v>
      </c>
      <c r="F27" s="134">
        <v>0</v>
      </c>
      <c r="G27" s="135">
        <v>0</v>
      </c>
      <c r="H27" s="134">
        <v>0</v>
      </c>
      <c r="I27" s="134">
        <v>0</v>
      </c>
      <c r="J27" s="134">
        <v>0</v>
      </c>
      <c r="K27" s="134">
        <v>0</v>
      </c>
      <c r="L27" s="135">
        <v>0</v>
      </c>
      <c r="M27" s="134">
        <v>0</v>
      </c>
      <c r="N27" s="134">
        <v>0</v>
      </c>
      <c r="O27" s="134">
        <v>0</v>
      </c>
      <c r="P27" s="134">
        <v>0</v>
      </c>
      <c r="Q27" s="135">
        <v>0</v>
      </c>
      <c r="R27" s="134">
        <v>0</v>
      </c>
      <c r="T27" s="136" t="s">
        <v>322</v>
      </c>
      <c r="U27" s="19">
        <f ca="1">(U34-U35)/U34</f>
        <v>0.2679982955248183</v>
      </c>
      <c r="V27" s="643"/>
    </row>
    <row r="28" spans="1:22">
      <c r="A28" s="126" t="s">
        <v>315</v>
      </c>
      <c r="B28" s="137"/>
      <c r="C28" s="131">
        <v>0</v>
      </c>
      <c r="D28" s="131">
        <v>0</v>
      </c>
      <c r="E28" s="131">
        <v>0</v>
      </c>
      <c r="F28" s="131">
        <v>0</v>
      </c>
      <c r="G28" s="132">
        <v>0</v>
      </c>
      <c r="H28" s="131">
        <v>0</v>
      </c>
      <c r="I28" s="131">
        <v>0</v>
      </c>
      <c r="J28" s="131">
        <v>0</v>
      </c>
      <c r="K28" s="131">
        <v>0</v>
      </c>
      <c r="L28" s="131">
        <v>0</v>
      </c>
      <c r="M28" s="131">
        <v>0</v>
      </c>
      <c r="N28" s="131">
        <v>0</v>
      </c>
      <c r="O28" s="131">
        <v>0</v>
      </c>
      <c r="P28" s="131">
        <v>0</v>
      </c>
      <c r="Q28" s="131">
        <v>0</v>
      </c>
      <c r="R28" s="131">
        <v>0</v>
      </c>
      <c r="T28" s="138" t="s">
        <v>403</v>
      </c>
      <c r="U28" s="20">
        <f>(U30)/(U30+U29)</f>
        <v>0.51465576005453306</v>
      </c>
      <c r="V28" s="643"/>
    </row>
    <row r="29" spans="1:22">
      <c r="A29" s="126" t="s">
        <v>188</v>
      </c>
      <c r="B29" s="130"/>
      <c r="C29" s="131">
        <v>1100</v>
      </c>
      <c r="D29" s="131">
        <v>3000</v>
      </c>
      <c r="E29" s="131">
        <v>700</v>
      </c>
      <c r="F29" s="131">
        <v>800</v>
      </c>
      <c r="G29" s="132">
        <v>560</v>
      </c>
      <c r="H29" s="131">
        <v>248</v>
      </c>
      <c r="I29" s="131">
        <v>0</v>
      </c>
      <c r="J29" s="131">
        <v>0</v>
      </c>
      <c r="K29" s="131">
        <v>0</v>
      </c>
      <c r="L29" s="131">
        <v>0</v>
      </c>
      <c r="M29" s="131">
        <v>0</v>
      </c>
      <c r="N29" s="131">
        <v>0</v>
      </c>
      <c r="O29" s="131">
        <v>0</v>
      </c>
      <c r="P29" s="131">
        <v>0</v>
      </c>
      <c r="Q29" s="131">
        <v>0</v>
      </c>
      <c r="R29" s="131">
        <v>0</v>
      </c>
      <c r="T29" s="138" t="str">
        <f>A29</f>
        <v>Unités vendues B2B</v>
      </c>
      <c r="U29" s="21">
        <f>SUM(C29:R29)</f>
        <v>6408</v>
      </c>
      <c r="V29" s="643"/>
    </row>
    <row r="30" spans="1:22">
      <c r="A30" s="126" t="s">
        <v>190</v>
      </c>
      <c r="B30" s="130"/>
      <c r="C30" s="131">
        <v>700</v>
      </c>
      <c r="D30" s="131">
        <v>1500</v>
      </c>
      <c r="E30" s="131">
        <v>1200</v>
      </c>
      <c r="F30" s="131">
        <v>950</v>
      </c>
      <c r="G30" s="132">
        <v>1200</v>
      </c>
      <c r="H30" s="131">
        <v>1245</v>
      </c>
      <c r="I30" s="131">
        <v>0</v>
      </c>
      <c r="J30" s="131">
        <v>0</v>
      </c>
      <c r="K30" s="131">
        <v>0</v>
      </c>
      <c r="L30" s="131">
        <v>0</v>
      </c>
      <c r="M30" s="131">
        <v>0</v>
      </c>
      <c r="N30" s="131">
        <v>0</v>
      </c>
      <c r="O30" s="131">
        <v>0</v>
      </c>
      <c r="P30" s="131">
        <v>0</v>
      </c>
      <c r="Q30" s="131">
        <v>0</v>
      </c>
      <c r="R30" s="131">
        <v>0</v>
      </c>
      <c r="T30" s="138" t="str">
        <f>A30</f>
        <v>Unités vendues B2C</v>
      </c>
      <c r="U30" s="21">
        <f>SUM(C30:R30)</f>
        <v>6795</v>
      </c>
      <c r="V30" s="643"/>
    </row>
    <row r="31" spans="1:22">
      <c r="A31" s="126" t="s">
        <v>317</v>
      </c>
      <c r="B31" s="137"/>
      <c r="C31" s="22">
        <f>IFERROR(C29/(C29+C30),"")</f>
        <v>0.61111111111111116</v>
      </c>
      <c r="D31" s="22">
        <f t="shared" ref="D31:R31" si="0">IFERROR(D29/(D29+D30),"")</f>
        <v>0.66666666666666663</v>
      </c>
      <c r="E31" s="22">
        <f t="shared" si="0"/>
        <v>0.36842105263157893</v>
      </c>
      <c r="F31" s="22">
        <f t="shared" si="0"/>
        <v>0.45714285714285713</v>
      </c>
      <c r="G31" s="22">
        <f t="shared" si="0"/>
        <v>0.31818181818181818</v>
      </c>
      <c r="H31" s="22">
        <f t="shared" si="0"/>
        <v>0.16610850636302746</v>
      </c>
      <c r="I31" s="22" t="str">
        <f t="shared" si="0"/>
        <v/>
      </c>
      <c r="J31" s="22" t="str">
        <f t="shared" si="0"/>
        <v/>
      </c>
      <c r="K31" s="22" t="str">
        <f t="shared" si="0"/>
        <v/>
      </c>
      <c r="L31" s="22" t="str">
        <f t="shared" si="0"/>
        <v/>
      </c>
      <c r="M31" s="22" t="str">
        <f t="shared" si="0"/>
        <v/>
      </c>
      <c r="N31" s="22" t="str">
        <f t="shared" si="0"/>
        <v/>
      </c>
      <c r="O31" s="22" t="str">
        <f t="shared" si="0"/>
        <v/>
      </c>
      <c r="P31" s="22" t="str">
        <f t="shared" si="0"/>
        <v/>
      </c>
      <c r="Q31" s="22" t="str">
        <f t="shared" si="0"/>
        <v/>
      </c>
      <c r="R31" s="22" t="str">
        <f t="shared" si="0"/>
        <v/>
      </c>
      <c r="S31" s="628"/>
      <c r="T31" s="138" t="s">
        <v>402</v>
      </c>
      <c r="U31" s="23">
        <f ca="1">SUMPRODUCT(C30:R30,C$7:R$7)/U34</f>
        <v>0.54948139307283972</v>
      </c>
      <c r="V31" s="643"/>
    </row>
    <row r="32" spans="1:22">
      <c r="A32" s="126" t="s">
        <v>483</v>
      </c>
      <c r="B32" s="139"/>
      <c r="C32" s="649">
        <f>IFERROR(C26-C29-C30-C28,"")</f>
        <v>200</v>
      </c>
      <c r="D32" s="649">
        <f t="shared" ref="D32:R32" si="1">IFERROR(D26-D29-D30-D28,"")</f>
        <v>500</v>
      </c>
      <c r="E32" s="649">
        <f t="shared" si="1"/>
        <v>100</v>
      </c>
      <c r="F32" s="649">
        <f t="shared" si="1"/>
        <v>250</v>
      </c>
      <c r="G32" s="649">
        <f t="shared" si="1"/>
        <v>240</v>
      </c>
      <c r="H32" s="649">
        <f t="shared" si="1"/>
        <v>207</v>
      </c>
      <c r="I32" s="649">
        <f t="shared" si="1"/>
        <v>0</v>
      </c>
      <c r="J32" s="649">
        <f t="shared" si="1"/>
        <v>0</v>
      </c>
      <c r="K32" s="649">
        <f t="shared" si="1"/>
        <v>0</v>
      </c>
      <c r="L32" s="649">
        <f t="shared" si="1"/>
        <v>0</v>
      </c>
      <c r="M32" s="649">
        <f t="shared" si="1"/>
        <v>0</v>
      </c>
      <c r="N32" s="649">
        <f t="shared" si="1"/>
        <v>0</v>
      </c>
      <c r="O32" s="649">
        <f t="shared" si="1"/>
        <v>0</v>
      </c>
      <c r="P32" s="649">
        <f t="shared" si="1"/>
        <v>0</v>
      </c>
      <c r="Q32" s="649">
        <f t="shared" si="1"/>
        <v>0</v>
      </c>
      <c r="R32" s="649">
        <f t="shared" si="1"/>
        <v>0</v>
      </c>
      <c r="S32" s="628"/>
      <c r="T32" s="138" t="s">
        <v>484</v>
      </c>
      <c r="U32" s="24">
        <f ca="1">SUMPRODUCT(C32:R32,C$11:R$11)</f>
        <v>1754.7571193333331</v>
      </c>
      <c r="V32" s="25"/>
    </row>
    <row r="33" spans="1:22">
      <c r="A33" s="126" t="s">
        <v>506</v>
      </c>
      <c r="C33" s="650">
        <f ca="1">IFERROR(C$19*(C29+C30),"")</f>
        <v>1400</v>
      </c>
      <c r="D33" s="650">
        <f t="shared" ref="D33:R33" ca="1" si="2">IFERROR(D$19*(D29+D30),"")</f>
        <v>3500</v>
      </c>
      <c r="E33" s="650">
        <f t="shared" ca="1" si="2"/>
        <v>1477.7777777777778</v>
      </c>
      <c r="F33" s="650">
        <f t="shared" ca="1" si="2"/>
        <v>1361.1111111111111</v>
      </c>
      <c r="G33" s="650">
        <f t="shared" ca="1" si="2"/>
        <v>1368.8888888888889</v>
      </c>
      <c r="H33" s="650">
        <f t="shared" ca="1" si="2"/>
        <v>1161.2222222222222</v>
      </c>
      <c r="I33" s="650">
        <f t="shared" ca="1" si="2"/>
        <v>0</v>
      </c>
      <c r="J33" s="650">
        <f t="shared" ca="1" si="2"/>
        <v>0</v>
      </c>
      <c r="K33" s="650" t="str">
        <f t="shared" ca="1" si="2"/>
        <v/>
      </c>
      <c r="L33" s="650" t="str">
        <f t="shared" ca="1" si="2"/>
        <v/>
      </c>
      <c r="M33" s="650" t="str">
        <f t="shared" ca="1" si="2"/>
        <v/>
      </c>
      <c r="N33" s="650" t="str">
        <f t="shared" ca="1" si="2"/>
        <v/>
      </c>
      <c r="O33" s="650" t="str">
        <f t="shared" ca="1" si="2"/>
        <v/>
      </c>
      <c r="P33" s="650" t="str">
        <f t="shared" ca="1" si="2"/>
        <v/>
      </c>
      <c r="Q33" s="650" t="str">
        <f t="shared" ca="1" si="2"/>
        <v/>
      </c>
      <c r="R33" s="650" t="str">
        <f t="shared" ca="1" si="2"/>
        <v/>
      </c>
      <c r="S33" s="628"/>
      <c r="T33" s="138" t="s">
        <v>507</v>
      </c>
      <c r="U33" s="24">
        <f ca="1">SUM(C33:R33)</f>
        <v>10269</v>
      </c>
      <c r="V33" s="25"/>
    </row>
    <row r="34" spans="1:22">
      <c r="A34" s="126" t="s">
        <v>189</v>
      </c>
      <c r="C34" s="651">
        <f t="shared" ref="C34:R34" ca="1" si="3">IFERROR((C29*C$6)+(C$7*C30),"")</f>
        <v>7734.867924528302</v>
      </c>
      <c r="D34" s="651">
        <f t="shared" ca="1" si="3"/>
        <v>19184.716981132075</v>
      </c>
      <c r="E34" s="651">
        <f t="shared" ca="1" si="3"/>
        <v>8445.7735849056608</v>
      </c>
      <c r="F34" s="651">
        <f t="shared" ca="1" si="3"/>
        <v>7684.3207547169804</v>
      </c>
      <c r="G34" s="651">
        <f t="shared" ca="1" si="3"/>
        <v>7877.3735849056611</v>
      </c>
      <c r="H34" s="651">
        <f t="shared" ca="1" si="3"/>
        <v>6820.7950943396227</v>
      </c>
      <c r="I34" s="651">
        <f t="shared" ca="1" si="3"/>
        <v>0</v>
      </c>
      <c r="J34" s="651">
        <f t="shared" ca="1" si="3"/>
        <v>0</v>
      </c>
      <c r="K34" s="651" t="str">
        <f t="shared" ca="1" si="3"/>
        <v/>
      </c>
      <c r="L34" s="651" t="str">
        <f t="shared" ca="1" si="3"/>
        <v/>
      </c>
      <c r="M34" s="651" t="str">
        <f t="shared" ca="1" si="3"/>
        <v/>
      </c>
      <c r="N34" s="651" t="str">
        <f t="shared" ca="1" si="3"/>
        <v/>
      </c>
      <c r="O34" s="651" t="str">
        <f t="shared" ca="1" si="3"/>
        <v/>
      </c>
      <c r="P34" s="651" t="str">
        <f t="shared" ca="1" si="3"/>
        <v/>
      </c>
      <c r="Q34" s="651" t="str">
        <f t="shared" ca="1" si="3"/>
        <v/>
      </c>
      <c r="R34" s="651" t="str">
        <f t="shared" ca="1" si="3"/>
        <v/>
      </c>
      <c r="T34" s="138" t="str">
        <f>A34</f>
        <v>C.A total (B2B+B2C)</v>
      </c>
      <c r="U34" s="652">
        <f ca="1">SUM(C34:R34)</f>
        <v>57747.847924528302</v>
      </c>
      <c r="V34" s="643"/>
    </row>
    <row r="35" spans="1:22">
      <c r="A35" s="126" t="s">
        <v>316</v>
      </c>
      <c r="C35" s="651">
        <f t="shared" ref="C35:R35" ca="1" si="4">IFERROR((C29*C$12)+(C$13*C30),"")</f>
        <v>5624.9395245283022</v>
      </c>
      <c r="D35" s="651">
        <f t="shared" ca="1" si="4"/>
        <v>13909.895981132075</v>
      </c>
      <c r="E35" s="651">
        <f t="shared" ca="1" si="4"/>
        <v>6218.6269404612167</v>
      </c>
      <c r="F35" s="651">
        <f t="shared" ca="1" si="4"/>
        <v>5633.0014769392037</v>
      </c>
      <c r="G35" s="651">
        <f t="shared" ca="1" si="4"/>
        <v>5814.3324826834387</v>
      </c>
      <c r="H35" s="651">
        <f t="shared" ca="1" si="4"/>
        <v>5070.7267047840669</v>
      </c>
      <c r="I35" s="651">
        <f t="shared" ca="1" si="4"/>
        <v>0</v>
      </c>
      <c r="J35" s="651">
        <f t="shared" ca="1" si="4"/>
        <v>0</v>
      </c>
      <c r="K35" s="651" t="str">
        <f t="shared" ca="1" si="4"/>
        <v/>
      </c>
      <c r="L35" s="651" t="str">
        <f t="shared" ca="1" si="4"/>
        <v/>
      </c>
      <c r="M35" s="651" t="str">
        <f t="shared" ca="1" si="4"/>
        <v/>
      </c>
      <c r="N35" s="651" t="str">
        <f t="shared" ca="1" si="4"/>
        <v/>
      </c>
      <c r="O35" s="651" t="str">
        <f t="shared" ca="1" si="4"/>
        <v/>
      </c>
      <c r="P35" s="651" t="str">
        <f t="shared" ca="1" si="4"/>
        <v/>
      </c>
      <c r="Q35" s="651" t="str">
        <f t="shared" ca="1" si="4"/>
        <v/>
      </c>
      <c r="R35" s="651" t="str">
        <f t="shared" ca="1" si="4"/>
        <v/>
      </c>
      <c r="T35" s="138" t="str">
        <f>A35</f>
        <v>MB Total (B2B + B2C)</v>
      </c>
      <c r="U35" s="652">
        <f ca="1">SUM(C35:R35)</f>
        <v>42271.523110528302</v>
      </c>
      <c r="V35" s="643"/>
    </row>
    <row r="36" spans="1:22">
      <c r="A36" s="126" t="s">
        <v>318</v>
      </c>
      <c r="C36" s="26">
        <f t="shared" ref="C36:R36" ca="1" si="5">IFERROR(C34/$U34,"")</f>
        <v>0.133942098320913</v>
      </c>
      <c r="D36" s="26">
        <f t="shared" ca="1" si="5"/>
        <v>0.33221527157522696</v>
      </c>
      <c r="E36" s="26">
        <f t="shared" ca="1" si="5"/>
        <v>0.14625261180197735</v>
      </c>
      <c r="F36" s="26">
        <f t="shared" ca="1" si="5"/>
        <v>0.13306679003449198</v>
      </c>
      <c r="G36" s="26">
        <f t="shared" ca="1" si="5"/>
        <v>0.13640982076424288</v>
      </c>
      <c r="H36" s="26">
        <f t="shared" ca="1" si="5"/>
        <v>0.11811340750314786</v>
      </c>
      <c r="I36" s="26">
        <f t="shared" ca="1" si="5"/>
        <v>0</v>
      </c>
      <c r="J36" s="26">
        <f t="shared" ca="1" si="5"/>
        <v>0</v>
      </c>
      <c r="K36" s="26" t="str">
        <f t="shared" ca="1" si="5"/>
        <v/>
      </c>
      <c r="L36" s="26" t="str">
        <f t="shared" ca="1" si="5"/>
        <v/>
      </c>
      <c r="M36" s="26" t="str">
        <f t="shared" ca="1" si="5"/>
        <v/>
      </c>
      <c r="N36" s="26" t="str">
        <f t="shared" ca="1" si="5"/>
        <v/>
      </c>
      <c r="O36" s="26" t="str">
        <f t="shared" ca="1" si="5"/>
        <v/>
      </c>
      <c r="P36" s="26" t="str">
        <f t="shared" ca="1" si="5"/>
        <v/>
      </c>
      <c r="Q36" s="26" t="str">
        <f t="shared" ca="1" si="5"/>
        <v/>
      </c>
      <c r="R36" s="26" t="str">
        <f t="shared" ca="1" si="5"/>
        <v/>
      </c>
      <c r="T36" s="125"/>
    </row>
    <row r="37" spans="1:22">
      <c r="A37" s="140"/>
      <c r="C37" s="141"/>
      <c r="D37" s="141"/>
      <c r="E37" s="141"/>
      <c r="F37" s="141"/>
      <c r="G37" s="141"/>
      <c r="H37" s="141"/>
      <c r="I37" s="141"/>
      <c r="J37" s="141"/>
      <c r="K37" s="141"/>
      <c r="L37" s="141"/>
      <c r="M37" s="141"/>
      <c r="N37" s="141"/>
      <c r="O37" s="141"/>
      <c r="P37" s="141"/>
      <c r="Q37" s="141"/>
      <c r="R37" s="141"/>
      <c r="S37" s="125"/>
      <c r="T37" s="125"/>
    </row>
    <row r="38" spans="1:22" ht="13.8" customHeight="1">
      <c r="A38" s="616" t="str">
        <f>"Année -1 - dernièr exercice comptable : "&amp;'1. DONNEES DE BASE'!$B$1-1</f>
        <v>Année -1 - dernièr exercice comptable : 2025</v>
      </c>
      <c r="B38" s="617"/>
      <c r="C38" s="617"/>
      <c r="D38" s="617"/>
      <c r="E38" s="617"/>
      <c r="F38" s="617"/>
      <c r="G38" s="617"/>
      <c r="H38" s="617"/>
      <c r="I38" s="624" t="str">
        <f>"Année -1 - dernièr exercice comptable : "&amp;'1. DONNEES DE BASE'!$B$1-1</f>
        <v>Année -1 - dernièr exercice comptable : 2025</v>
      </c>
      <c r="J38" s="625"/>
      <c r="K38" s="625"/>
      <c r="L38" s="625"/>
      <c r="M38" s="625"/>
      <c r="N38" s="625"/>
      <c r="O38" s="625"/>
      <c r="P38" s="625"/>
      <c r="Q38" s="625"/>
      <c r="R38" s="625"/>
      <c r="T38" s="629" t="s">
        <v>191</v>
      </c>
      <c r="U38" s="630"/>
      <c r="V38" s="631" t="s">
        <v>404</v>
      </c>
    </row>
    <row r="39" spans="1:22" ht="13.8" customHeight="1">
      <c r="A39" s="126" t="s">
        <v>314</v>
      </c>
      <c r="B39" s="130"/>
      <c r="C39" s="131">
        <v>10000</v>
      </c>
      <c r="D39" s="131">
        <v>3000</v>
      </c>
      <c r="E39" s="131">
        <v>1600</v>
      </c>
      <c r="F39" s="131">
        <v>5000</v>
      </c>
      <c r="G39" s="131">
        <v>3000</v>
      </c>
      <c r="H39" s="131">
        <v>2000</v>
      </c>
      <c r="I39" s="131">
        <v>0</v>
      </c>
      <c r="J39" s="131">
        <v>0</v>
      </c>
      <c r="K39" s="131">
        <v>0</v>
      </c>
      <c r="L39" s="131">
        <v>0</v>
      </c>
      <c r="M39" s="131">
        <v>0</v>
      </c>
      <c r="N39" s="131">
        <v>0</v>
      </c>
      <c r="O39" s="131">
        <v>0</v>
      </c>
      <c r="P39" s="131">
        <v>0</v>
      </c>
      <c r="Q39" s="131">
        <v>0</v>
      </c>
      <c r="R39" s="131">
        <v>0</v>
      </c>
      <c r="T39" s="632"/>
      <c r="U39" s="633"/>
      <c r="V39" s="634"/>
    </row>
    <row r="40" spans="1:22">
      <c r="A40" s="126" t="s">
        <v>186</v>
      </c>
      <c r="B40" s="130"/>
      <c r="C40" s="643">
        <f t="shared" ref="C40:R40" si="6">C32</f>
        <v>200</v>
      </c>
      <c r="D40" s="643">
        <f t="shared" si="6"/>
        <v>500</v>
      </c>
      <c r="E40" s="643">
        <f t="shared" si="6"/>
        <v>100</v>
      </c>
      <c r="F40" s="643">
        <f t="shared" si="6"/>
        <v>250</v>
      </c>
      <c r="G40" s="643">
        <f t="shared" si="6"/>
        <v>240</v>
      </c>
      <c r="H40" s="643">
        <f t="shared" si="6"/>
        <v>207</v>
      </c>
      <c r="I40" s="643">
        <f t="shared" si="6"/>
        <v>0</v>
      </c>
      <c r="J40" s="643">
        <f t="shared" si="6"/>
        <v>0</v>
      </c>
      <c r="K40" s="643">
        <f t="shared" si="6"/>
        <v>0</v>
      </c>
      <c r="L40" s="643">
        <f t="shared" si="6"/>
        <v>0</v>
      </c>
      <c r="M40" s="643">
        <f t="shared" si="6"/>
        <v>0</v>
      </c>
      <c r="N40" s="643">
        <f t="shared" si="6"/>
        <v>0</v>
      </c>
      <c r="O40" s="643">
        <f t="shared" si="6"/>
        <v>0</v>
      </c>
      <c r="P40" s="643">
        <f t="shared" si="6"/>
        <v>0</v>
      </c>
      <c r="Q40" s="643">
        <f t="shared" si="6"/>
        <v>0</v>
      </c>
      <c r="R40" s="643">
        <f t="shared" si="6"/>
        <v>0</v>
      </c>
      <c r="T40" s="136" t="s">
        <v>322</v>
      </c>
      <c r="U40" s="19">
        <f ca="1">(U47-U48)/U47</f>
        <v>0.27790063315519409</v>
      </c>
      <c r="V40" s="25">
        <f t="shared" ref="V40:V45" ca="1" si="7">U40/U27-1</f>
        <v>3.6949256005468722E-2</v>
      </c>
    </row>
    <row r="41" spans="1:22">
      <c r="A41" s="126" t="s">
        <v>315</v>
      </c>
      <c r="B41" s="137"/>
      <c r="C41" s="131">
        <v>50</v>
      </c>
      <c r="D41" s="131">
        <v>50</v>
      </c>
      <c r="E41" s="131">
        <v>50</v>
      </c>
      <c r="F41" s="131">
        <v>50</v>
      </c>
      <c r="G41" s="131">
        <v>0</v>
      </c>
      <c r="H41" s="131">
        <v>0</v>
      </c>
      <c r="I41" s="131">
        <v>0</v>
      </c>
      <c r="J41" s="131">
        <v>0</v>
      </c>
      <c r="K41" s="131">
        <v>0</v>
      </c>
      <c r="L41" s="131">
        <v>0</v>
      </c>
      <c r="M41" s="131">
        <v>0</v>
      </c>
      <c r="N41" s="131">
        <v>0</v>
      </c>
      <c r="O41" s="131">
        <v>0</v>
      </c>
      <c r="P41" s="131">
        <v>0</v>
      </c>
      <c r="Q41" s="131">
        <v>0</v>
      </c>
      <c r="R41" s="131">
        <v>0</v>
      </c>
      <c r="T41" s="138" t="s">
        <v>403</v>
      </c>
      <c r="U41" s="20">
        <f>(U43)/(U43+U42)</f>
        <v>0.25908221797323133</v>
      </c>
      <c r="V41" s="25">
        <f t="shared" si="7"/>
        <v>-0.49659124004406574</v>
      </c>
    </row>
    <row r="42" spans="1:22">
      <c r="A42" s="126" t="s">
        <v>188</v>
      </c>
      <c r="B42" s="130"/>
      <c r="C42" s="131">
        <v>8000</v>
      </c>
      <c r="D42" s="131">
        <v>300</v>
      </c>
      <c r="E42" s="131">
        <v>200</v>
      </c>
      <c r="F42" s="131">
        <v>2500</v>
      </c>
      <c r="G42" s="131">
        <v>3000</v>
      </c>
      <c r="H42" s="131">
        <v>1500</v>
      </c>
      <c r="I42" s="131">
        <v>0</v>
      </c>
      <c r="J42" s="131">
        <v>0</v>
      </c>
      <c r="K42" s="131">
        <v>0</v>
      </c>
      <c r="L42" s="131">
        <v>0</v>
      </c>
      <c r="M42" s="131">
        <v>0</v>
      </c>
      <c r="N42" s="131">
        <v>0</v>
      </c>
      <c r="O42" s="131">
        <v>0</v>
      </c>
      <c r="P42" s="131">
        <v>0</v>
      </c>
      <c r="Q42" s="131">
        <v>0</v>
      </c>
      <c r="R42" s="131">
        <v>0</v>
      </c>
      <c r="T42" s="138" t="str">
        <f>A42</f>
        <v>Unités vendues B2B</v>
      </c>
      <c r="U42" s="21">
        <f>SUM(C42:R42)</f>
        <v>15500</v>
      </c>
      <c r="V42" s="25">
        <f t="shared" si="7"/>
        <v>1.4188514357053683</v>
      </c>
    </row>
    <row r="43" spans="1:22">
      <c r="A43" s="126" t="s">
        <v>190</v>
      </c>
      <c r="B43" s="130"/>
      <c r="C43" s="131">
        <v>1000</v>
      </c>
      <c r="D43" s="131">
        <v>400</v>
      </c>
      <c r="E43" s="131">
        <v>800</v>
      </c>
      <c r="F43" s="131">
        <v>2500</v>
      </c>
      <c r="G43" s="131">
        <v>120</v>
      </c>
      <c r="H43" s="131">
        <v>600</v>
      </c>
      <c r="I43" s="131">
        <v>0</v>
      </c>
      <c r="J43" s="131">
        <v>0</v>
      </c>
      <c r="K43" s="131">
        <v>0</v>
      </c>
      <c r="L43" s="131">
        <v>0</v>
      </c>
      <c r="M43" s="131">
        <v>0</v>
      </c>
      <c r="N43" s="131">
        <v>0</v>
      </c>
      <c r="O43" s="131">
        <v>0</v>
      </c>
      <c r="P43" s="131">
        <v>0</v>
      </c>
      <c r="Q43" s="131">
        <v>0</v>
      </c>
      <c r="R43" s="131">
        <v>0</v>
      </c>
      <c r="T43" s="138" t="str">
        <f>A43</f>
        <v>Unités vendues B2C</v>
      </c>
      <c r="U43" s="21">
        <f>SUM(C43:R43)</f>
        <v>5420</v>
      </c>
      <c r="V43" s="25">
        <f t="shared" si="7"/>
        <v>-0.20235467255334805</v>
      </c>
    </row>
    <row r="44" spans="1:22">
      <c r="A44" s="126" t="s">
        <v>317</v>
      </c>
      <c r="B44" s="137"/>
      <c r="C44" s="22">
        <f>IFERROR(C42/(C42+C43),"")</f>
        <v>0.88888888888888884</v>
      </c>
      <c r="D44" s="22">
        <f t="shared" ref="D44:R44" si="8">IFERROR(D42/(D42+D43),"")</f>
        <v>0.42857142857142855</v>
      </c>
      <c r="E44" s="22">
        <f t="shared" si="8"/>
        <v>0.2</v>
      </c>
      <c r="F44" s="22">
        <f t="shared" si="8"/>
        <v>0.5</v>
      </c>
      <c r="G44" s="22">
        <f t="shared" si="8"/>
        <v>0.96153846153846156</v>
      </c>
      <c r="H44" s="22">
        <f t="shared" si="8"/>
        <v>0.7142857142857143</v>
      </c>
      <c r="I44" s="22" t="str">
        <f t="shared" si="8"/>
        <v/>
      </c>
      <c r="J44" s="22" t="str">
        <f t="shared" si="8"/>
        <v/>
      </c>
      <c r="K44" s="22" t="str">
        <f t="shared" si="8"/>
        <v/>
      </c>
      <c r="L44" s="22" t="str">
        <f t="shared" si="8"/>
        <v/>
      </c>
      <c r="M44" s="22" t="str">
        <f t="shared" si="8"/>
        <v/>
      </c>
      <c r="N44" s="22" t="str">
        <f t="shared" si="8"/>
        <v/>
      </c>
      <c r="O44" s="22" t="str">
        <f t="shared" si="8"/>
        <v/>
      </c>
      <c r="P44" s="22" t="str">
        <f t="shared" si="8"/>
        <v/>
      </c>
      <c r="Q44" s="22" t="str">
        <f t="shared" si="8"/>
        <v/>
      </c>
      <c r="R44" s="22" t="str">
        <f t="shared" si="8"/>
        <v/>
      </c>
      <c r="S44" s="628"/>
      <c r="T44" s="138" t="s">
        <v>402</v>
      </c>
      <c r="U44" s="23">
        <f ca="1">SUMPRODUCT(C43:R43,C$7:R$7)/U47</f>
        <v>0.2868344188473167</v>
      </c>
      <c r="V44" s="25">
        <f t="shared" ca="1" si="7"/>
        <v>-0.47799066089705844</v>
      </c>
    </row>
    <row r="45" spans="1:22">
      <c r="A45" s="126" t="s">
        <v>483</v>
      </c>
      <c r="B45" s="139"/>
      <c r="C45" s="649">
        <f>IFERROR(C39-C42-C43-C41,"")</f>
        <v>950</v>
      </c>
      <c r="D45" s="649">
        <f t="shared" ref="D45:R45" si="9">IFERROR(D39-D42-D43-D41,"")</f>
        <v>2250</v>
      </c>
      <c r="E45" s="649">
        <f t="shared" si="9"/>
        <v>550</v>
      </c>
      <c r="F45" s="649">
        <f t="shared" si="9"/>
        <v>-50</v>
      </c>
      <c r="G45" s="649">
        <f t="shared" si="9"/>
        <v>-120</v>
      </c>
      <c r="H45" s="649">
        <f t="shared" si="9"/>
        <v>-100</v>
      </c>
      <c r="I45" s="649">
        <f t="shared" si="9"/>
        <v>0</v>
      </c>
      <c r="J45" s="649">
        <f t="shared" si="9"/>
        <v>0</v>
      </c>
      <c r="K45" s="649">
        <f t="shared" si="9"/>
        <v>0</v>
      </c>
      <c r="L45" s="649">
        <f t="shared" si="9"/>
        <v>0</v>
      </c>
      <c r="M45" s="649">
        <f t="shared" si="9"/>
        <v>0</v>
      </c>
      <c r="N45" s="649">
        <f t="shared" si="9"/>
        <v>0</v>
      </c>
      <c r="O45" s="649">
        <f t="shared" si="9"/>
        <v>0</v>
      </c>
      <c r="P45" s="649">
        <f t="shared" si="9"/>
        <v>0</v>
      </c>
      <c r="Q45" s="649">
        <f t="shared" si="9"/>
        <v>0</v>
      </c>
      <c r="R45" s="649">
        <f t="shared" si="9"/>
        <v>0</v>
      </c>
      <c r="S45" s="628"/>
      <c r="T45" s="138" t="s">
        <v>484</v>
      </c>
      <c r="U45" s="24">
        <f ca="1">SUMPRODUCT(C45:R45,C$11:R$11)</f>
        <v>4079.1949066666675</v>
      </c>
      <c r="V45" s="25">
        <f t="shared" ca="1" si="7"/>
        <v>1.3246492985971954</v>
      </c>
    </row>
    <row r="46" spans="1:22">
      <c r="A46" s="126" t="s">
        <v>506</v>
      </c>
      <c r="C46" s="27">
        <f ca="1">IFERROR(C$19*(C42+C43),"")</f>
        <v>7000</v>
      </c>
      <c r="D46" s="27">
        <f t="shared" ref="D46:R46" ca="1" si="10">IFERROR(D$19*(D42+D43),"")</f>
        <v>544.44444444444446</v>
      </c>
      <c r="E46" s="27">
        <f t="shared" ca="1" si="10"/>
        <v>777.77777777777783</v>
      </c>
      <c r="F46" s="27">
        <f t="shared" ca="1" si="10"/>
        <v>3888.8888888888891</v>
      </c>
      <c r="G46" s="27">
        <f t="shared" ca="1" si="10"/>
        <v>2426.6666666666665</v>
      </c>
      <c r="H46" s="27">
        <f t="shared" ca="1" si="10"/>
        <v>1633.3333333333333</v>
      </c>
      <c r="I46" s="650">
        <f t="shared" ca="1" si="10"/>
        <v>0</v>
      </c>
      <c r="J46" s="650">
        <f t="shared" ca="1" si="10"/>
        <v>0</v>
      </c>
      <c r="K46" s="650" t="str">
        <f t="shared" ca="1" si="10"/>
        <v/>
      </c>
      <c r="L46" s="650" t="str">
        <f t="shared" ca="1" si="10"/>
        <v/>
      </c>
      <c r="M46" s="650" t="str">
        <f t="shared" ca="1" si="10"/>
        <v/>
      </c>
      <c r="N46" s="650" t="str">
        <f t="shared" ca="1" si="10"/>
        <v/>
      </c>
      <c r="O46" s="650" t="str">
        <f t="shared" ca="1" si="10"/>
        <v/>
      </c>
      <c r="P46" s="650" t="str">
        <f t="shared" ca="1" si="10"/>
        <v/>
      </c>
      <c r="Q46" s="650" t="str">
        <f t="shared" ca="1" si="10"/>
        <v/>
      </c>
      <c r="R46" s="650" t="str">
        <f t="shared" ca="1" si="10"/>
        <v/>
      </c>
      <c r="S46" s="628"/>
      <c r="T46" s="138" t="s">
        <v>507</v>
      </c>
      <c r="U46" s="24">
        <f ca="1">SUM(C46:R46)</f>
        <v>16271.111111111111</v>
      </c>
      <c r="V46" s="25">
        <f ca="1">U46/U33-1</f>
        <v>0.58448837385442709</v>
      </c>
    </row>
    <row r="47" spans="1:22">
      <c r="A47" s="126" t="s">
        <v>189</v>
      </c>
      <c r="B47" s="139"/>
      <c r="C47" s="653">
        <f t="shared" ref="C47:R47" ca="1" si="11">IFERROR((C42*C$6)+(C$7*C43),"")</f>
        <v>37149.811320754714</v>
      </c>
      <c r="D47" s="653">
        <f t="shared" ca="1" si="11"/>
        <v>3085.9245283018863</v>
      </c>
      <c r="E47" s="653">
        <f t="shared" ca="1" si="11"/>
        <v>4547.8490566037735</v>
      </c>
      <c r="F47" s="653">
        <f t="shared" ca="1" si="11"/>
        <v>21824.528301886792</v>
      </c>
      <c r="G47" s="653">
        <f t="shared" ca="1" si="11"/>
        <v>12740.377358490565</v>
      </c>
      <c r="H47" s="653">
        <f t="shared" ca="1" si="11"/>
        <v>8891.8867924528295</v>
      </c>
      <c r="I47" s="653">
        <f t="shared" ca="1" si="11"/>
        <v>0</v>
      </c>
      <c r="J47" s="653">
        <f t="shared" ca="1" si="11"/>
        <v>0</v>
      </c>
      <c r="K47" s="653" t="str">
        <f t="shared" ca="1" si="11"/>
        <v/>
      </c>
      <c r="L47" s="653" t="str">
        <f t="shared" ca="1" si="11"/>
        <v/>
      </c>
      <c r="M47" s="653" t="str">
        <f t="shared" ca="1" si="11"/>
        <v/>
      </c>
      <c r="N47" s="653" t="str">
        <f t="shared" ca="1" si="11"/>
        <v/>
      </c>
      <c r="O47" s="653" t="str">
        <f t="shared" ca="1" si="11"/>
        <v/>
      </c>
      <c r="P47" s="653" t="str">
        <f t="shared" ca="1" si="11"/>
        <v/>
      </c>
      <c r="Q47" s="653" t="str">
        <f t="shared" ca="1" si="11"/>
        <v/>
      </c>
      <c r="R47" s="653" t="str">
        <f t="shared" ca="1" si="11"/>
        <v/>
      </c>
      <c r="T47" s="138" t="str">
        <f>A47</f>
        <v>C.A total (B2B+B2C)</v>
      </c>
      <c r="U47" s="652">
        <f ca="1">SUM(C47:R47)</f>
        <v>88240.377358490572</v>
      </c>
      <c r="V47" s="25">
        <f ca="1">U47/U32-1</f>
        <v>49.286376608071457</v>
      </c>
    </row>
    <row r="48" spans="1:22">
      <c r="A48" s="126" t="s">
        <v>316</v>
      </c>
      <c r="C48" s="651">
        <f t="shared" ref="C48:R48" ca="1" si="12">IFERROR((C42*C$12)+(C$13*C43),"")</f>
        <v>26600.169320754714</v>
      </c>
      <c r="D48" s="651">
        <f t="shared" ca="1" si="12"/>
        <v>2265.3968171907759</v>
      </c>
      <c r="E48" s="651">
        <f t="shared" ca="1" si="12"/>
        <v>3375.6666121593294</v>
      </c>
      <c r="F48" s="651">
        <f t="shared" ca="1" si="12"/>
        <v>15963.616079664571</v>
      </c>
      <c r="G48" s="651">
        <f t="shared" ca="1" si="12"/>
        <v>9083.1681318238989</v>
      </c>
      <c r="H48" s="651">
        <f t="shared" ca="1" si="12"/>
        <v>6430.3036591194968</v>
      </c>
      <c r="I48" s="651">
        <f t="shared" ca="1" si="12"/>
        <v>0</v>
      </c>
      <c r="J48" s="651">
        <f t="shared" ca="1" si="12"/>
        <v>0</v>
      </c>
      <c r="K48" s="651" t="str">
        <f t="shared" ca="1" si="12"/>
        <v/>
      </c>
      <c r="L48" s="651" t="str">
        <f t="shared" ca="1" si="12"/>
        <v/>
      </c>
      <c r="M48" s="651" t="str">
        <f t="shared" ca="1" si="12"/>
        <v/>
      </c>
      <c r="N48" s="651" t="str">
        <f t="shared" ca="1" si="12"/>
        <v/>
      </c>
      <c r="O48" s="651" t="str">
        <f t="shared" ca="1" si="12"/>
        <v/>
      </c>
      <c r="P48" s="651" t="str">
        <f t="shared" ca="1" si="12"/>
        <v/>
      </c>
      <c r="Q48" s="651" t="str">
        <f t="shared" ca="1" si="12"/>
        <v/>
      </c>
      <c r="R48" s="651" t="str">
        <f t="shared" ca="1" si="12"/>
        <v/>
      </c>
      <c r="T48" s="138" t="str">
        <f>A48</f>
        <v>MB Total (B2B + B2C)</v>
      </c>
      <c r="U48" s="652">
        <f ca="1">SUM(C48:R48)</f>
        <v>63718.320620712788</v>
      </c>
      <c r="V48" s="25">
        <f ca="1">U48/U34-1</f>
        <v>0.10338866140929448</v>
      </c>
    </row>
    <row r="49" spans="1:29">
      <c r="A49" s="126" t="s">
        <v>318</v>
      </c>
      <c r="C49" s="26">
        <f t="shared" ref="C49:R49" ca="1" si="13">IFERROR(C47/$U47,"")</f>
        <v>0.42100694073221939</v>
      </c>
      <c r="D49" s="26">
        <f t="shared" ca="1" si="13"/>
        <v>3.4971796593353484E-2</v>
      </c>
      <c r="E49" s="26">
        <f t="shared" ca="1" si="13"/>
        <v>5.1539320124702248E-2</v>
      </c>
      <c r="F49" s="26">
        <f t="shared" ca="1" si="13"/>
        <v>0.24733040536784168</v>
      </c>
      <c r="G49" s="26">
        <f t="shared" ca="1" si="13"/>
        <v>0.14438262550409042</v>
      </c>
      <c r="H49" s="26">
        <f t="shared" ca="1" si="13"/>
        <v>0.10076891167779263</v>
      </c>
      <c r="I49" s="26">
        <f t="shared" ca="1" si="13"/>
        <v>0</v>
      </c>
      <c r="J49" s="26">
        <f t="shared" ca="1" si="13"/>
        <v>0</v>
      </c>
      <c r="K49" s="26" t="str">
        <f t="shared" ca="1" si="13"/>
        <v/>
      </c>
      <c r="L49" s="26" t="str">
        <f t="shared" ca="1" si="13"/>
        <v/>
      </c>
      <c r="M49" s="26" t="str">
        <f t="shared" ca="1" si="13"/>
        <v/>
      </c>
      <c r="N49" s="26" t="str">
        <f t="shared" ca="1" si="13"/>
        <v/>
      </c>
      <c r="O49" s="26" t="str">
        <f t="shared" ca="1" si="13"/>
        <v/>
      </c>
      <c r="P49" s="26" t="str">
        <f t="shared" ca="1" si="13"/>
        <v/>
      </c>
      <c r="Q49" s="26" t="str">
        <f t="shared" ca="1" si="13"/>
        <v/>
      </c>
      <c r="R49" s="26" t="str">
        <f t="shared" ca="1" si="13"/>
        <v/>
      </c>
      <c r="T49" s="136"/>
      <c r="U49" s="142"/>
    </row>
    <row r="50" spans="1:29">
      <c r="T50" s="136"/>
      <c r="U50" s="142"/>
      <c r="W50" s="635"/>
    </row>
    <row r="51" spans="1:29">
      <c r="A51" s="625" t="str">
        <f>"Année en cours : "&amp;'1. DONNEES DE BASE'!$B$1</f>
        <v>Année en cours : 2026</v>
      </c>
      <c r="B51" s="625"/>
      <c r="C51" s="625"/>
      <c r="D51" s="625"/>
      <c r="E51" s="625"/>
      <c r="F51" s="625"/>
      <c r="G51" s="625"/>
      <c r="H51" s="625"/>
      <c r="I51" s="625" t="str">
        <f>"Année en cours : "&amp;'1. DONNEES DE BASE'!$B$1</f>
        <v>Année en cours : 2026</v>
      </c>
      <c r="J51" s="625"/>
      <c r="K51" s="625"/>
      <c r="L51" s="625"/>
      <c r="M51" s="625"/>
      <c r="N51" s="625"/>
      <c r="O51" s="625"/>
      <c r="P51" s="625"/>
      <c r="Q51" s="625"/>
      <c r="R51" s="625"/>
      <c r="T51" s="629" t="s">
        <v>191</v>
      </c>
      <c r="U51" s="630"/>
      <c r="V51" s="631" t="s">
        <v>404</v>
      </c>
    </row>
    <row r="52" spans="1:29">
      <c r="A52" s="126" t="s">
        <v>314</v>
      </c>
      <c r="B52" s="130"/>
      <c r="C52" s="131">
        <v>2000</v>
      </c>
      <c r="D52" s="131">
        <v>1000</v>
      </c>
      <c r="E52" s="131">
        <v>4000</v>
      </c>
      <c r="F52" s="131">
        <v>8000</v>
      </c>
      <c r="G52" s="131">
        <v>600</v>
      </c>
      <c r="H52" s="131">
        <v>200</v>
      </c>
      <c r="I52" s="131">
        <v>0</v>
      </c>
      <c r="J52" s="131">
        <v>0</v>
      </c>
      <c r="K52" s="131">
        <v>0</v>
      </c>
      <c r="L52" s="131">
        <v>0</v>
      </c>
      <c r="M52" s="131">
        <v>0</v>
      </c>
      <c r="N52" s="131">
        <v>0</v>
      </c>
      <c r="O52" s="131">
        <v>0</v>
      </c>
      <c r="P52" s="131">
        <v>0</v>
      </c>
      <c r="Q52" s="131">
        <v>0</v>
      </c>
      <c r="R52" s="131">
        <v>0</v>
      </c>
      <c r="T52" s="632"/>
      <c r="U52" s="633"/>
      <c r="V52" s="634"/>
    </row>
    <row r="53" spans="1:29">
      <c r="A53" s="126" t="s">
        <v>186</v>
      </c>
      <c r="B53" s="130"/>
      <c r="C53" s="654">
        <f t="shared" ref="C53:R53" si="14">C45</f>
        <v>950</v>
      </c>
      <c r="D53" s="654">
        <f t="shared" si="14"/>
        <v>2250</v>
      </c>
      <c r="E53" s="654">
        <f t="shared" si="14"/>
        <v>550</v>
      </c>
      <c r="F53" s="654">
        <f t="shared" si="14"/>
        <v>-50</v>
      </c>
      <c r="G53" s="654">
        <f t="shared" si="14"/>
        <v>-120</v>
      </c>
      <c r="H53" s="654">
        <f t="shared" si="14"/>
        <v>-100</v>
      </c>
      <c r="I53" s="654">
        <f t="shared" si="14"/>
        <v>0</v>
      </c>
      <c r="J53" s="654">
        <f t="shared" si="14"/>
        <v>0</v>
      </c>
      <c r="K53" s="654">
        <f t="shared" si="14"/>
        <v>0</v>
      </c>
      <c r="L53" s="654">
        <f t="shared" si="14"/>
        <v>0</v>
      </c>
      <c r="M53" s="654">
        <f t="shared" si="14"/>
        <v>0</v>
      </c>
      <c r="N53" s="654">
        <f t="shared" si="14"/>
        <v>0</v>
      </c>
      <c r="O53" s="654">
        <f t="shared" si="14"/>
        <v>0</v>
      </c>
      <c r="P53" s="654">
        <f t="shared" si="14"/>
        <v>0</v>
      </c>
      <c r="Q53" s="654">
        <f t="shared" si="14"/>
        <v>0</v>
      </c>
      <c r="R53" s="654">
        <f t="shared" si="14"/>
        <v>0</v>
      </c>
      <c r="T53" s="136" t="s">
        <v>322</v>
      </c>
      <c r="U53" s="19">
        <f ca="1">(U60-U61)/U60</f>
        <v>0.25184752010857786</v>
      </c>
      <c r="V53" s="25">
        <f t="shared" ref="V53:V59" ca="1" si="15">U53/U40-1</f>
        <v>-9.3749743391433049E-2</v>
      </c>
    </row>
    <row r="54" spans="1:29">
      <c r="A54" s="126" t="s">
        <v>315</v>
      </c>
      <c r="B54" s="137"/>
      <c r="C54" s="131">
        <v>50</v>
      </c>
      <c r="D54" s="131">
        <v>50</v>
      </c>
      <c r="E54" s="131">
        <v>50</v>
      </c>
      <c r="F54" s="131">
        <v>50</v>
      </c>
      <c r="G54" s="131">
        <v>50</v>
      </c>
      <c r="H54" s="131">
        <v>0</v>
      </c>
      <c r="I54" s="131">
        <v>0</v>
      </c>
      <c r="J54" s="131">
        <v>0</v>
      </c>
      <c r="K54" s="131">
        <v>0</v>
      </c>
      <c r="L54" s="131">
        <v>0</v>
      </c>
      <c r="M54" s="131">
        <v>0</v>
      </c>
      <c r="N54" s="131">
        <v>0</v>
      </c>
      <c r="O54" s="131">
        <v>0</v>
      </c>
      <c r="P54" s="131">
        <v>0</v>
      </c>
      <c r="Q54" s="131">
        <v>0</v>
      </c>
      <c r="R54" s="131">
        <v>0</v>
      </c>
      <c r="T54" s="138" t="s">
        <v>403</v>
      </c>
      <c r="U54" s="20">
        <f>(U56)/(U56+U55)</f>
        <v>0.97461928934010156</v>
      </c>
      <c r="V54" s="25">
        <f t="shared" si="15"/>
        <v>2.7618146739843037</v>
      </c>
    </row>
    <row r="55" spans="1:29">
      <c r="A55" s="126" t="s">
        <v>188</v>
      </c>
      <c r="B55" s="130"/>
      <c r="C55" s="131">
        <v>50</v>
      </c>
      <c r="D55" s="131">
        <v>50</v>
      </c>
      <c r="E55" s="131">
        <v>50</v>
      </c>
      <c r="F55" s="131">
        <v>500</v>
      </c>
      <c r="G55" s="131">
        <v>50</v>
      </c>
      <c r="H55" s="131">
        <v>50</v>
      </c>
      <c r="I55" s="131">
        <v>0</v>
      </c>
      <c r="J55" s="131">
        <v>0</v>
      </c>
      <c r="K55" s="131">
        <v>0</v>
      </c>
      <c r="L55" s="131">
        <v>0</v>
      </c>
      <c r="M55" s="131">
        <v>0</v>
      </c>
      <c r="N55" s="131">
        <v>0</v>
      </c>
      <c r="O55" s="131">
        <v>0</v>
      </c>
      <c r="P55" s="131">
        <v>0</v>
      </c>
      <c r="Q55" s="131">
        <v>0</v>
      </c>
      <c r="R55" s="131">
        <v>0</v>
      </c>
      <c r="T55" s="138" t="str">
        <f>A55</f>
        <v>Unités vendues B2B</v>
      </c>
      <c r="U55" s="21">
        <f>SUM(C55:R55)</f>
        <v>750</v>
      </c>
      <c r="V55" s="25">
        <f t="shared" si="15"/>
        <v>-0.95161290322580649</v>
      </c>
    </row>
    <row r="56" spans="1:29">
      <c r="A56" s="126" t="s">
        <v>190</v>
      </c>
      <c r="B56" s="130"/>
      <c r="C56" s="131">
        <v>2000</v>
      </c>
      <c r="D56" s="131">
        <v>1000</v>
      </c>
      <c r="E56" s="131">
        <v>800</v>
      </c>
      <c r="F56" s="131">
        <v>2000</v>
      </c>
      <c r="G56" s="131">
        <v>3000</v>
      </c>
      <c r="H56" s="131">
        <v>20000</v>
      </c>
      <c r="I56" s="131">
        <v>0</v>
      </c>
      <c r="J56" s="131">
        <v>0</v>
      </c>
      <c r="K56" s="131">
        <v>0</v>
      </c>
      <c r="L56" s="131">
        <v>0</v>
      </c>
      <c r="M56" s="131">
        <v>0</v>
      </c>
      <c r="N56" s="131">
        <v>0</v>
      </c>
      <c r="O56" s="131">
        <v>0</v>
      </c>
      <c r="P56" s="131">
        <v>0</v>
      </c>
      <c r="Q56" s="131">
        <v>0</v>
      </c>
      <c r="R56" s="131">
        <v>0</v>
      </c>
      <c r="T56" s="138" t="str">
        <f>A56</f>
        <v>Unités vendues B2C</v>
      </c>
      <c r="U56" s="21">
        <f>SUM(C56:R56)</f>
        <v>28800</v>
      </c>
      <c r="V56" s="25">
        <f t="shared" si="15"/>
        <v>4.3136531365313653</v>
      </c>
    </row>
    <row r="57" spans="1:29">
      <c r="A57" s="126" t="s">
        <v>317</v>
      </c>
      <c r="B57" s="137"/>
      <c r="C57" s="22">
        <f>IFERROR(C55/(C55+C56),"")</f>
        <v>2.4390243902439025E-2</v>
      </c>
      <c r="D57" s="22">
        <f t="shared" ref="D57:R57" si="16">IFERROR(D55/(D55+D56),"")</f>
        <v>4.7619047619047616E-2</v>
      </c>
      <c r="E57" s="22">
        <f t="shared" si="16"/>
        <v>5.8823529411764705E-2</v>
      </c>
      <c r="F57" s="22">
        <f t="shared" si="16"/>
        <v>0.2</v>
      </c>
      <c r="G57" s="22">
        <f t="shared" si="16"/>
        <v>1.6393442622950821E-2</v>
      </c>
      <c r="H57" s="22">
        <f t="shared" si="16"/>
        <v>2.4937655860349127E-3</v>
      </c>
      <c r="I57" s="22" t="str">
        <f t="shared" si="16"/>
        <v/>
      </c>
      <c r="J57" s="22" t="str">
        <f t="shared" si="16"/>
        <v/>
      </c>
      <c r="K57" s="22" t="str">
        <f t="shared" si="16"/>
        <v/>
      </c>
      <c r="L57" s="22" t="str">
        <f t="shared" si="16"/>
        <v/>
      </c>
      <c r="M57" s="22" t="str">
        <f t="shared" si="16"/>
        <v/>
      </c>
      <c r="N57" s="22" t="str">
        <f t="shared" si="16"/>
        <v/>
      </c>
      <c r="O57" s="22" t="str">
        <f t="shared" si="16"/>
        <v/>
      </c>
      <c r="P57" s="22" t="str">
        <f t="shared" si="16"/>
        <v/>
      </c>
      <c r="Q57" s="22" t="str">
        <f t="shared" si="16"/>
        <v/>
      </c>
      <c r="R57" s="22" t="str">
        <f t="shared" si="16"/>
        <v/>
      </c>
      <c r="S57" s="628"/>
      <c r="T57" s="138" t="s">
        <v>402</v>
      </c>
      <c r="U57" s="23">
        <f ca="1">SUMPRODUCT(C56:R56,C$7:R$7)/U60</f>
        <v>0.97786027216287796</v>
      </c>
      <c r="V57" s="25">
        <f t="shared" ca="1" si="15"/>
        <v>2.4091455136121498</v>
      </c>
    </row>
    <row r="58" spans="1:29">
      <c r="A58" s="126" t="s">
        <v>483</v>
      </c>
      <c r="B58" s="139"/>
      <c r="C58" s="649">
        <f>IFERROR(C52-C55-C56-C54,"")</f>
        <v>-100</v>
      </c>
      <c r="D58" s="649">
        <f t="shared" ref="D58:R58" si="17">IFERROR(D52-D55-D56-D54,"")</f>
        <v>-100</v>
      </c>
      <c r="E58" s="649">
        <f t="shared" si="17"/>
        <v>3100</v>
      </c>
      <c r="F58" s="649">
        <f t="shared" si="17"/>
        <v>5450</v>
      </c>
      <c r="G58" s="649">
        <f t="shared" si="17"/>
        <v>-2500</v>
      </c>
      <c r="H58" s="649">
        <f t="shared" si="17"/>
        <v>-19850</v>
      </c>
      <c r="I58" s="649">
        <f t="shared" si="17"/>
        <v>0</v>
      </c>
      <c r="J58" s="649">
        <f t="shared" si="17"/>
        <v>0</v>
      </c>
      <c r="K58" s="649">
        <f t="shared" si="17"/>
        <v>0</v>
      </c>
      <c r="L58" s="649">
        <f t="shared" si="17"/>
        <v>0</v>
      </c>
      <c r="M58" s="649">
        <f t="shared" si="17"/>
        <v>0</v>
      </c>
      <c r="N58" s="649">
        <f t="shared" si="17"/>
        <v>0</v>
      </c>
      <c r="O58" s="649">
        <f t="shared" si="17"/>
        <v>0</v>
      </c>
      <c r="P58" s="649">
        <f t="shared" si="17"/>
        <v>0</v>
      </c>
      <c r="Q58" s="649">
        <f t="shared" si="17"/>
        <v>0</v>
      </c>
      <c r="R58" s="649">
        <f t="shared" si="17"/>
        <v>0</v>
      </c>
      <c r="S58" s="628"/>
      <c r="T58" s="138" t="s">
        <v>484</v>
      </c>
      <c r="U58" s="24">
        <f ca="1">SUMPRODUCT(C58:R58,C$11:R$11)</f>
        <v>-16410.554222222221</v>
      </c>
      <c r="V58" s="25">
        <f t="shared" ca="1" si="15"/>
        <v>-5.0229885057471257</v>
      </c>
    </row>
    <row r="59" spans="1:29">
      <c r="A59" s="126" t="s">
        <v>506</v>
      </c>
      <c r="C59" s="27">
        <f ca="1">IFERROR(C$19*(C55+C56),"")</f>
        <v>1594.4444444444446</v>
      </c>
      <c r="D59" s="27">
        <f t="shared" ref="D59:R59" ca="1" si="18">IFERROR(D$19*(D55+D56),"")</f>
        <v>816.66666666666663</v>
      </c>
      <c r="E59" s="27">
        <f t="shared" ca="1" si="18"/>
        <v>661.11111111111109</v>
      </c>
      <c r="F59" s="27">
        <f t="shared" ca="1" si="18"/>
        <v>1944.4444444444446</v>
      </c>
      <c r="G59" s="27">
        <f t="shared" ca="1" si="18"/>
        <v>2372.2222222222222</v>
      </c>
      <c r="H59" s="27">
        <f t="shared" ca="1" si="18"/>
        <v>15594.444444444445</v>
      </c>
      <c r="I59" s="650">
        <f t="shared" ca="1" si="18"/>
        <v>0</v>
      </c>
      <c r="J59" s="650">
        <f t="shared" ca="1" si="18"/>
        <v>0</v>
      </c>
      <c r="K59" s="650" t="str">
        <f t="shared" ca="1" si="18"/>
        <v/>
      </c>
      <c r="L59" s="650" t="str">
        <f t="shared" ca="1" si="18"/>
        <v/>
      </c>
      <c r="M59" s="650" t="str">
        <f t="shared" ca="1" si="18"/>
        <v/>
      </c>
      <c r="N59" s="650" t="str">
        <f t="shared" ca="1" si="18"/>
        <v/>
      </c>
      <c r="O59" s="650" t="str">
        <f t="shared" ca="1" si="18"/>
        <v/>
      </c>
      <c r="P59" s="650" t="str">
        <f t="shared" ca="1" si="18"/>
        <v/>
      </c>
      <c r="Q59" s="650" t="str">
        <f t="shared" ca="1" si="18"/>
        <v/>
      </c>
      <c r="R59" s="650" t="str">
        <f t="shared" ca="1" si="18"/>
        <v/>
      </c>
      <c r="S59" s="628"/>
      <c r="T59" s="138" t="s">
        <v>507</v>
      </c>
      <c r="U59" s="24">
        <f ca="1">SUM(C59:R59)</f>
        <v>22983.333333333336</v>
      </c>
      <c r="V59" s="25">
        <f t="shared" ca="1" si="15"/>
        <v>0.41252390057361388</v>
      </c>
    </row>
    <row r="60" spans="1:29">
      <c r="A60" s="126" t="s">
        <v>189</v>
      </c>
      <c r="B60" s="139"/>
      <c r="C60" s="653">
        <f t="shared" ref="C60:R60" ca="1" si="19">IFERROR((C55*C$6)+(C$7*C56),"")</f>
        <v>9542.6226415094352</v>
      </c>
      <c r="D60" s="653">
        <f t="shared" ca="1" si="19"/>
        <v>4872.8113207547176</v>
      </c>
      <c r="E60" s="653">
        <f t="shared" ca="1" si="19"/>
        <v>3938.8490566037735</v>
      </c>
      <c r="F60" s="653">
        <f t="shared" ca="1" si="19"/>
        <v>11369.622641509435</v>
      </c>
      <c r="G60" s="653">
        <f t="shared" ca="1" si="19"/>
        <v>14212.433962264151</v>
      </c>
      <c r="H60" s="653">
        <f t="shared" ca="1" si="19"/>
        <v>93599.226415094337</v>
      </c>
      <c r="I60" s="653">
        <f t="shared" ca="1" si="19"/>
        <v>0</v>
      </c>
      <c r="J60" s="653">
        <f t="shared" ca="1" si="19"/>
        <v>0</v>
      </c>
      <c r="K60" s="653" t="str">
        <f t="shared" ca="1" si="19"/>
        <v/>
      </c>
      <c r="L60" s="653" t="str">
        <f t="shared" ca="1" si="19"/>
        <v/>
      </c>
      <c r="M60" s="653" t="str">
        <f t="shared" ca="1" si="19"/>
        <v/>
      </c>
      <c r="N60" s="653" t="str">
        <f t="shared" ca="1" si="19"/>
        <v/>
      </c>
      <c r="O60" s="653" t="str">
        <f t="shared" ca="1" si="19"/>
        <v/>
      </c>
      <c r="P60" s="653" t="str">
        <f t="shared" ca="1" si="19"/>
        <v/>
      </c>
      <c r="Q60" s="653" t="str">
        <f t="shared" ca="1" si="19"/>
        <v/>
      </c>
      <c r="R60" s="653" t="str">
        <f t="shared" ca="1" si="19"/>
        <v/>
      </c>
      <c r="T60" s="138" t="str">
        <f>A60</f>
        <v>C.A total (B2B+B2C)</v>
      </c>
      <c r="U60" s="652">
        <f ca="1">SUM(C60:R60)</f>
        <v>137535.56603773584</v>
      </c>
      <c r="V60" s="25">
        <f ca="1">U60/U45-1</f>
        <v>32.716350697771304</v>
      </c>
    </row>
    <row r="61" spans="1:29">
      <c r="A61" s="126" t="s">
        <v>316</v>
      </c>
      <c r="B61" s="139"/>
      <c r="C61" s="653">
        <f t="shared" ref="C61:R61" ca="1" si="20">IFERROR((C55*C$12)+(C$13*C56),"")</f>
        <v>7139.6486303983238</v>
      </c>
      <c r="D61" s="653">
        <f t="shared" ca="1" si="20"/>
        <v>3642.0197540880508</v>
      </c>
      <c r="E61" s="653">
        <f t="shared" ca="1" si="20"/>
        <v>2942.4939788259962</v>
      </c>
      <c r="F61" s="653">
        <f t="shared" ca="1" si="20"/>
        <v>8439.1665303983245</v>
      </c>
      <c r="G61" s="653">
        <f t="shared" ca="1" si="20"/>
        <v>10637.277506708597</v>
      </c>
      <c r="H61" s="653">
        <f t="shared" ca="1" si="20"/>
        <v>70096.968403983235</v>
      </c>
      <c r="I61" s="653">
        <f t="shared" ca="1" si="20"/>
        <v>0</v>
      </c>
      <c r="J61" s="653">
        <f t="shared" ca="1" si="20"/>
        <v>0</v>
      </c>
      <c r="K61" s="653" t="str">
        <f t="shared" ca="1" si="20"/>
        <v/>
      </c>
      <c r="L61" s="653" t="str">
        <f t="shared" ca="1" si="20"/>
        <v/>
      </c>
      <c r="M61" s="653" t="str">
        <f t="shared" ca="1" si="20"/>
        <v/>
      </c>
      <c r="N61" s="653" t="str">
        <f t="shared" ca="1" si="20"/>
        <v/>
      </c>
      <c r="O61" s="653" t="str">
        <f t="shared" ca="1" si="20"/>
        <v/>
      </c>
      <c r="P61" s="653" t="str">
        <f t="shared" ca="1" si="20"/>
        <v/>
      </c>
      <c r="Q61" s="653" t="str">
        <f t="shared" ca="1" si="20"/>
        <v/>
      </c>
      <c r="R61" s="653" t="str">
        <f t="shared" ca="1" si="20"/>
        <v/>
      </c>
      <c r="T61" s="138" t="str">
        <f>A61</f>
        <v>MB Total (B2B + B2C)</v>
      </c>
      <c r="U61" s="652">
        <f ca="1">SUM(C61:R61)</f>
        <v>102897.57480440252</v>
      </c>
      <c r="V61" s="25">
        <f ca="1">U61/U47-1</f>
        <v>0.16610533504820313</v>
      </c>
    </row>
    <row r="62" spans="1:29">
      <c r="A62" s="126" t="s">
        <v>318</v>
      </c>
      <c r="B62" s="139"/>
      <c r="C62" s="25">
        <f t="shared" ref="C62" ca="1" si="21">IFERROR(C60/$U60,"")</f>
        <v>6.9382945200452448E-2</v>
      </c>
      <c r="D62" s="25">
        <f t="shared" ref="D62:R62" ca="1" si="22">IFERROR(D60/$U60,"")</f>
        <v>3.5429463528130291E-2</v>
      </c>
      <c r="E62" s="25">
        <f t="shared" ca="1" si="22"/>
        <v>2.863876719366586E-2</v>
      </c>
      <c r="F62" s="25">
        <f t="shared" ca="1" si="22"/>
        <v>8.2666781902725694E-2</v>
      </c>
      <c r="G62" s="25">
        <f t="shared" ca="1" si="22"/>
        <v>0.1033364268727746</v>
      </c>
      <c r="H62" s="25">
        <f t="shared" ca="1" si="22"/>
        <v>0.68054561530225122</v>
      </c>
      <c r="I62" s="25">
        <f t="shared" ca="1" si="22"/>
        <v>0</v>
      </c>
      <c r="J62" s="25">
        <f t="shared" ca="1" si="22"/>
        <v>0</v>
      </c>
      <c r="K62" s="25" t="str">
        <f t="shared" ca="1" si="22"/>
        <v/>
      </c>
      <c r="L62" s="25" t="str">
        <f t="shared" ca="1" si="22"/>
        <v/>
      </c>
      <c r="M62" s="25" t="str">
        <f t="shared" ca="1" si="22"/>
        <v/>
      </c>
      <c r="N62" s="25" t="str">
        <f t="shared" ca="1" si="22"/>
        <v/>
      </c>
      <c r="O62" s="25" t="str">
        <f t="shared" ca="1" si="22"/>
        <v/>
      </c>
      <c r="P62" s="25" t="str">
        <f t="shared" ca="1" si="22"/>
        <v/>
      </c>
      <c r="Q62" s="25" t="str">
        <f t="shared" ca="1" si="22"/>
        <v/>
      </c>
      <c r="R62" s="25" t="str">
        <f t="shared" ca="1" si="22"/>
        <v/>
      </c>
      <c r="T62" s="138"/>
      <c r="U62" s="136"/>
      <c r="V62" s="143"/>
    </row>
    <row r="63" spans="1:29">
      <c r="A63" s="140"/>
      <c r="B63" s="140"/>
      <c r="C63" s="140"/>
      <c r="D63" s="140"/>
      <c r="E63" s="140"/>
      <c r="F63" s="140"/>
      <c r="G63" s="140"/>
      <c r="H63" s="140"/>
      <c r="I63" s="140"/>
      <c r="J63" s="140"/>
      <c r="K63" s="140"/>
      <c r="L63" s="140"/>
      <c r="M63" s="140"/>
      <c r="N63" s="140"/>
      <c r="O63" s="140"/>
      <c r="P63" s="140"/>
      <c r="Q63" s="140"/>
      <c r="R63" s="140"/>
      <c r="T63" s="136"/>
      <c r="U63" s="142"/>
      <c r="V63" s="144"/>
    </row>
    <row r="64" spans="1:29">
      <c r="A64" s="636" t="s">
        <v>400</v>
      </c>
      <c r="B64" s="636"/>
      <c r="C64" s="636" t="s">
        <v>400</v>
      </c>
      <c r="D64" s="636"/>
      <c r="E64" s="636"/>
      <c r="F64" s="636"/>
      <c r="G64" s="636"/>
      <c r="H64" s="636"/>
      <c r="I64" s="636" t="s">
        <v>400</v>
      </c>
      <c r="J64" s="636"/>
      <c r="K64" s="636"/>
      <c r="L64" s="636"/>
      <c r="M64" s="636"/>
      <c r="N64" s="636"/>
      <c r="O64" s="636"/>
      <c r="P64" s="636"/>
      <c r="Q64" s="636"/>
      <c r="R64" s="636"/>
      <c r="T64" s="637" t="s">
        <v>400</v>
      </c>
      <c r="U64" s="638"/>
      <c r="V64" s="638"/>
      <c r="W64" s="639"/>
      <c r="X64" s="639"/>
      <c r="Y64" s="639"/>
      <c r="Z64" s="639"/>
      <c r="AA64" s="639"/>
      <c r="AB64" s="639"/>
      <c r="AC64" s="639"/>
    </row>
    <row r="65" spans="1:23">
      <c r="A65" s="126" t="s">
        <v>399</v>
      </c>
      <c r="B65" s="139"/>
      <c r="C65" s="28">
        <f ca="1">IFERROR((C60-C61)/C60,"")</f>
        <v>0.25181484182958463</v>
      </c>
      <c r="D65" s="28">
        <f t="shared" ref="D65:R65" ca="1" si="23">IFERROR((D60-D61)/D60,"")</f>
        <v>0.25258346479051391</v>
      </c>
      <c r="E65" s="28">
        <f t="shared" ca="1" si="23"/>
        <v>0.25295589230750387</v>
      </c>
      <c r="F65" s="28">
        <f t="shared" ca="1" si="23"/>
        <v>0.25774435999417322</v>
      </c>
      <c r="G65" s="28">
        <f t="shared" ca="1" si="23"/>
        <v>0.25155131521089608</v>
      </c>
      <c r="H65" s="28">
        <f t="shared" ca="1" si="23"/>
        <v>0.25109457536415064</v>
      </c>
      <c r="I65" s="28" t="str">
        <f t="shared" ca="1" si="23"/>
        <v/>
      </c>
      <c r="J65" s="28" t="str">
        <f t="shared" ca="1" si="23"/>
        <v/>
      </c>
      <c r="K65" s="28" t="str">
        <f t="shared" ca="1" si="23"/>
        <v/>
      </c>
      <c r="L65" s="28" t="str">
        <f t="shared" ca="1" si="23"/>
        <v/>
      </c>
      <c r="M65" s="28" t="str">
        <f t="shared" ca="1" si="23"/>
        <v/>
      </c>
      <c r="N65" s="28" t="str">
        <f t="shared" ca="1" si="23"/>
        <v/>
      </c>
      <c r="O65" s="28" t="str">
        <f t="shared" ca="1" si="23"/>
        <v/>
      </c>
      <c r="P65" s="28" t="str">
        <f t="shared" ca="1" si="23"/>
        <v/>
      </c>
      <c r="Q65" s="28" t="str">
        <f t="shared" ca="1" si="23"/>
        <v/>
      </c>
      <c r="R65" s="28" t="str">
        <f t="shared" ca="1" si="23"/>
        <v/>
      </c>
      <c r="T65" s="145" t="str">
        <f>A65</f>
        <v xml:space="preserve">Ratio Achat Vente (B2C + B2B) </v>
      </c>
      <c r="U65" s="29">
        <f ca="1">SUMPRODUCT(C65:R65,C$60:R$60)/SUM(C$60:R$60)</f>
        <v>0.25184752010857792</v>
      </c>
    </row>
    <row r="66" spans="1:23">
      <c r="A66" s="126" t="s">
        <v>415</v>
      </c>
      <c r="B66" s="139"/>
      <c r="C66" s="28">
        <f ca="1">IFERROR(1-C65,"")</f>
        <v>0.74818515817041531</v>
      </c>
      <c r="D66" s="28">
        <f t="shared" ref="D66:R66" ca="1" si="24">IFERROR(1-D65,"")</f>
        <v>0.74741653520948614</v>
      </c>
      <c r="E66" s="28">
        <f t="shared" ca="1" si="24"/>
        <v>0.74704410769249607</v>
      </c>
      <c r="F66" s="28">
        <f t="shared" ca="1" si="24"/>
        <v>0.74225564000582678</v>
      </c>
      <c r="G66" s="28">
        <f t="shared" ca="1" si="24"/>
        <v>0.74844868478910387</v>
      </c>
      <c r="H66" s="28">
        <f t="shared" ca="1" si="24"/>
        <v>0.7489054246358493</v>
      </c>
      <c r="I66" s="28" t="str">
        <f t="shared" ca="1" si="24"/>
        <v/>
      </c>
      <c r="J66" s="28" t="str">
        <f t="shared" ca="1" si="24"/>
        <v/>
      </c>
      <c r="K66" s="28" t="str">
        <f t="shared" ca="1" si="24"/>
        <v/>
      </c>
      <c r="L66" s="28" t="str">
        <f t="shared" ca="1" si="24"/>
        <v/>
      </c>
      <c r="M66" s="28" t="str">
        <f t="shared" ca="1" si="24"/>
        <v/>
      </c>
      <c r="N66" s="28" t="str">
        <f t="shared" ca="1" si="24"/>
        <v/>
      </c>
      <c r="O66" s="28" t="str">
        <f t="shared" ca="1" si="24"/>
        <v/>
      </c>
      <c r="P66" s="28" t="str">
        <f t="shared" ca="1" si="24"/>
        <v/>
      </c>
      <c r="Q66" s="28" t="str">
        <f t="shared" ca="1" si="24"/>
        <v/>
      </c>
      <c r="R66" s="28" t="str">
        <f t="shared" ca="1" si="24"/>
        <v/>
      </c>
      <c r="T66" s="145"/>
      <c r="U66" s="29"/>
    </row>
    <row r="67" spans="1:23">
      <c r="A67" s="126" t="s">
        <v>396</v>
      </c>
      <c r="B67" s="139"/>
      <c r="C67" s="28">
        <f t="shared" ref="C67:R67" ca="1" si="25">IFERROR(((C16*C$14*C$55*C$6)+(C16*C$15*C$56)*C$7)/C$60,"")</f>
        <v>0.18138802769698606</v>
      </c>
      <c r="D67" s="28">
        <f t="shared" ca="1" si="25"/>
        <v>0.18194168451051071</v>
      </c>
      <c r="E67" s="28">
        <f t="shared" ca="1" si="25"/>
        <v>0.18220995262479703</v>
      </c>
      <c r="F67" s="28">
        <f t="shared" ca="1" si="25"/>
        <v>0.18565919613667667</v>
      </c>
      <c r="G67" s="28">
        <f t="shared" ca="1" si="25"/>
        <v>0.18119820340679632</v>
      </c>
      <c r="H67" s="28">
        <f t="shared" ca="1" si="25"/>
        <v>0.18086920318040042</v>
      </c>
      <c r="I67" s="28" t="str">
        <f t="shared" ca="1" si="25"/>
        <v/>
      </c>
      <c r="J67" s="28" t="str">
        <f t="shared" ca="1" si="25"/>
        <v/>
      </c>
      <c r="K67" s="28" t="str">
        <f t="shared" ca="1" si="25"/>
        <v/>
      </c>
      <c r="L67" s="28" t="str">
        <f t="shared" ca="1" si="25"/>
        <v/>
      </c>
      <c r="M67" s="28" t="str">
        <f t="shared" ca="1" si="25"/>
        <v/>
      </c>
      <c r="N67" s="28" t="str">
        <f t="shared" ca="1" si="25"/>
        <v/>
      </c>
      <c r="O67" s="28" t="str">
        <f t="shared" ca="1" si="25"/>
        <v/>
      </c>
      <c r="P67" s="28" t="str">
        <f t="shared" ca="1" si="25"/>
        <v/>
      </c>
      <c r="Q67" s="28" t="str">
        <f t="shared" ca="1" si="25"/>
        <v/>
      </c>
      <c r="R67" s="28" t="str">
        <f t="shared" ca="1" si="25"/>
        <v/>
      </c>
      <c r="T67" s="145" t="str">
        <f t="shared" ref="T67:T71" si="26">A67</f>
        <v xml:space="preserve">Prop. Matières premières dans C.A </v>
      </c>
      <c r="U67" s="29">
        <f ca="1">SUMPRODUCT(C67:R67,C$60:R$60)/SUM(C$60:R$60)</f>
        <v>0.18141156661364435</v>
      </c>
    </row>
    <row r="68" spans="1:23">
      <c r="A68" s="139" t="s">
        <v>397</v>
      </c>
      <c r="B68" s="139"/>
      <c r="C68" s="28">
        <f t="shared" ref="C68:R68" ca="1" si="27">IFERROR(((C17*C$14*C$55*C$6)+(C17*C$15*C$56)*C$7)/C$60,"")</f>
        <v>6.9033502781627884E-2</v>
      </c>
      <c r="D68" s="28">
        <f t="shared" ca="1" si="27"/>
        <v>6.9244216077658488E-2</v>
      </c>
      <c r="E68" s="28">
        <f t="shared" ca="1" si="27"/>
        <v>6.9346314809581089E-2</v>
      </c>
      <c r="F68" s="28">
        <f t="shared" ca="1" si="27"/>
        <v>7.0659044015555075E-2</v>
      </c>
      <c r="G68" s="28">
        <f t="shared" ca="1" si="27"/>
        <v>6.8961258566663894E-2</v>
      </c>
      <c r="H68" s="28">
        <f t="shared" ca="1" si="27"/>
        <v>6.8836046123855937E-2</v>
      </c>
      <c r="I68" s="28" t="str">
        <f t="shared" ca="1" si="27"/>
        <v/>
      </c>
      <c r="J68" s="28" t="str">
        <f t="shared" ca="1" si="27"/>
        <v/>
      </c>
      <c r="K68" s="28" t="str">
        <f t="shared" ca="1" si="27"/>
        <v/>
      </c>
      <c r="L68" s="28" t="str">
        <f t="shared" ca="1" si="27"/>
        <v/>
      </c>
      <c r="M68" s="28" t="str">
        <f t="shared" ca="1" si="27"/>
        <v/>
      </c>
      <c r="N68" s="28" t="str">
        <f t="shared" ca="1" si="27"/>
        <v/>
      </c>
      <c r="O68" s="28" t="str">
        <f t="shared" ca="1" si="27"/>
        <v/>
      </c>
      <c r="P68" s="28" t="str">
        <f t="shared" ca="1" si="27"/>
        <v/>
      </c>
      <c r="Q68" s="28" t="str">
        <f t="shared" ca="1" si="27"/>
        <v/>
      </c>
      <c r="R68" s="28" t="str">
        <f t="shared" ca="1" si="27"/>
        <v/>
      </c>
      <c r="T68" s="145" t="str">
        <f t="shared" si="26"/>
        <v xml:space="preserve">Prop. Consommables dans C.A </v>
      </c>
      <c r="U68" s="29">
        <f ca="1">SUMPRODUCT(C68:R68,C$60:R$60)/SUM(C$60:R$60)</f>
        <v>6.9042461332471827E-2</v>
      </c>
    </row>
    <row r="69" spans="1:23">
      <c r="A69" s="126" t="s">
        <v>398</v>
      </c>
      <c r="B69" s="139"/>
      <c r="C69" s="28">
        <f t="shared" ref="C69:R69" ca="1" si="28">IFERROR(((C18*C$14*C$55*C$6)+(C18*C$15*C$56)*C$7)/C$60,"")</f>
        <v>1.3933113509706314E-3</v>
      </c>
      <c r="D69" s="28">
        <f t="shared" ca="1" si="28"/>
        <v>1.3975642023446747E-3</v>
      </c>
      <c r="E69" s="28">
        <f t="shared" ca="1" si="28"/>
        <v>1.3996248731258962E-3</v>
      </c>
      <c r="F69" s="28">
        <f t="shared" ca="1" si="28"/>
        <v>1.4261198419415449E-3</v>
      </c>
      <c r="G69" s="28">
        <f t="shared" ca="1" si="28"/>
        <v>1.3918532374359658E-3</v>
      </c>
      <c r="H69" s="28">
        <f t="shared" ca="1" si="28"/>
        <v>1.3893260598943748E-3</v>
      </c>
      <c r="I69" s="28" t="str">
        <f t="shared" ca="1" si="28"/>
        <v/>
      </c>
      <c r="J69" s="28" t="str">
        <f t="shared" ca="1" si="28"/>
        <v/>
      </c>
      <c r="K69" s="28" t="str">
        <f t="shared" ca="1" si="28"/>
        <v/>
      </c>
      <c r="L69" s="28" t="str">
        <f t="shared" ca="1" si="28"/>
        <v/>
      </c>
      <c r="M69" s="28" t="str">
        <f t="shared" ca="1" si="28"/>
        <v/>
      </c>
      <c r="N69" s="28" t="str">
        <f t="shared" ca="1" si="28"/>
        <v/>
      </c>
      <c r="O69" s="28" t="str">
        <f t="shared" ca="1" si="28"/>
        <v/>
      </c>
      <c r="P69" s="28" t="str">
        <f t="shared" ca="1" si="28"/>
        <v/>
      </c>
      <c r="Q69" s="28" t="str">
        <f t="shared" ca="1" si="28"/>
        <v/>
      </c>
      <c r="R69" s="28" t="str">
        <f t="shared" ca="1" si="28"/>
        <v/>
      </c>
      <c r="T69" s="145" t="str">
        <f t="shared" si="26"/>
        <v xml:space="preserve">Prop. Energie dans C.A </v>
      </c>
      <c r="U69" s="29">
        <f ca="1">SUMPRODUCT(C69:R69,C$60:R$60)/SUM(C$60:R$60)</f>
        <v>1.3934921624618086E-3</v>
      </c>
    </row>
    <row r="70" spans="1:23">
      <c r="A70" s="140" t="s">
        <v>485</v>
      </c>
      <c r="C70" s="30">
        <f ca="1">IFERROR(C22/C10*(C55+C56+C58)/60,"")</f>
        <v>41.6</v>
      </c>
      <c r="D70" s="30">
        <f t="shared" ref="D70:R70" ca="1" si="29">IFERROR(D22/D10*(D55+D56+D58)/60,"")</f>
        <v>20.266666666666666</v>
      </c>
      <c r="E70" s="30">
        <f t="shared" ca="1" si="29"/>
        <v>84.266666666666666</v>
      </c>
      <c r="F70" s="30">
        <f t="shared" ca="1" si="29"/>
        <v>169.6</v>
      </c>
      <c r="G70" s="30">
        <f t="shared" ca="1" si="29"/>
        <v>11.733333333333333</v>
      </c>
      <c r="H70" s="30">
        <f t="shared" ca="1" si="29"/>
        <v>4.2666666666666666</v>
      </c>
      <c r="I70" s="30">
        <f t="shared" ca="1" si="29"/>
        <v>0</v>
      </c>
      <c r="J70" s="30">
        <f t="shared" ca="1" si="29"/>
        <v>0</v>
      </c>
      <c r="K70" s="30" t="str">
        <f t="shared" ca="1" si="29"/>
        <v/>
      </c>
      <c r="L70" s="30" t="str">
        <f t="shared" ca="1" si="29"/>
        <v/>
      </c>
      <c r="M70" s="30" t="str">
        <f t="shared" ca="1" si="29"/>
        <v/>
      </c>
      <c r="N70" s="30" t="str">
        <f t="shared" ca="1" si="29"/>
        <v/>
      </c>
      <c r="O70" s="30" t="str">
        <f t="shared" ca="1" si="29"/>
        <v/>
      </c>
      <c r="P70" s="30" t="str">
        <f t="shared" ca="1" si="29"/>
        <v/>
      </c>
      <c r="Q70" s="30" t="str">
        <f t="shared" ca="1" si="29"/>
        <v/>
      </c>
      <c r="R70" s="30" t="str">
        <f t="shared" ca="1" si="29"/>
        <v/>
      </c>
      <c r="T70" s="145" t="str">
        <f t="shared" si="26"/>
        <v>Heures travail production (delta stock + unités vendues)</v>
      </c>
      <c r="U70" s="31">
        <f ca="1">SUM(C70:R70)</f>
        <v>331.73333333333335</v>
      </c>
      <c r="V70" s="144"/>
    </row>
    <row r="71" spans="1:23">
      <c r="A71" s="125" t="s">
        <v>414</v>
      </c>
      <c r="C71" s="651">
        <f ca="1">IFERROR(C61/C70,"")</f>
        <v>171.6261689999597</v>
      </c>
      <c r="D71" s="651">
        <f t="shared" ref="D71:R71" ca="1" si="30">IFERROR(D61/D70,"")</f>
        <v>179.70492207671305</v>
      </c>
      <c r="E71" s="651">
        <f t="shared" ca="1" si="30"/>
        <v>34.918836774042674</v>
      </c>
      <c r="F71" s="651">
        <f t="shared" ca="1" si="30"/>
        <v>49.759236617914652</v>
      </c>
      <c r="G71" s="651">
        <f t="shared" ca="1" si="30"/>
        <v>906.58615113993733</v>
      </c>
      <c r="H71" s="651">
        <f t="shared" ca="1" si="30"/>
        <v>16428.976969683572</v>
      </c>
      <c r="I71" s="651" t="str">
        <f t="shared" ca="1" si="30"/>
        <v/>
      </c>
      <c r="J71" s="651" t="str">
        <f t="shared" ca="1" si="30"/>
        <v/>
      </c>
      <c r="K71" s="651" t="str">
        <f t="shared" ca="1" si="30"/>
        <v/>
      </c>
      <c r="L71" s="651" t="str">
        <f t="shared" ca="1" si="30"/>
        <v/>
      </c>
      <c r="M71" s="651" t="str">
        <f t="shared" ca="1" si="30"/>
        <v/>
      </c>
      <c r="N71" s="651" t="str">
        <f t="shared" ca="1" si="30"/>
        <v/>
      </c>
      <c r="O71" s="651" t="str">
        <f t="shared" ca="1" si="30"/>
        <v/>
      </c>
      <c r="P71" s="651" t="str">
        <f t="shared" ca="1" si="30"/>
        <v/>
      </c>
      <c r="Q71" s="651" t="str">
        <f t="shared" ca="1" si="30"/>
        <v/>
      </c>
      <c r="R71" s="651" t="str">
        <f t="shared" ca="1" si="30"/>
        <v/>
      </c>
      <c r="T71" s="145" t="str">
        <f t="shared" si="26"/>
        <v>Marge Brute totale / heure de travail</v>
      </c>
      <c r="U71" s="31">
        <f ca="1">U61/U70</f>
        <v>310.18159607436451</v>
      </c>
      <c r="W71" s="635"/>
    </row>
    <row r="72" spans="1:23">
      <c r="T72" s="125"/>
      <c r="U72" s="146"/>
      <c r="W72" s="635"/>
    </row>
    <row r="73" spans="1:23">
      <c r="A73" s="625" t="str">
        <f>"Année prochaine : "&amp;'1. DONNEES DE BASE'!$B$1+1</f>
        <v>Année prochaine : 2027</v>
      </c>
      <c r="B73" s="625"/>
      <c r="C73" s="625"/>
      <c r="D73" s="625"/>
      <c r="E73" s="625"/>
      <c r="F73" s="625"/>
      <c r="G73" s="625"/>
      <c r="H73" s="625"/>
      <c r="I73" s="625" t="s">
        <v>395</v>
      </c>
      <c r="J73" s="625"/>
      <c r="K73" s="625"/>
      <c r="L73" s="625"/>
      <c r="M73" s="625"/>
      <c r="N73" s="625"/>
      <c r="O73" s="625"/>
      <c r="P73" s="625"/>
      <c r="Q73" s="625"/>
      <c r="R73" s="625"/>
      <c r="T73" s="629" t="s">
        <v>191</v>
      </c>
      <c r="U73" s="630"/>
      <c r="V73" s="631" t="s">
        <v>404</v>
      </c>
    </row>
    <row r="74" spans="1:23">
      <c r="A74" s="126" t="s">
        <v>314</v>
      </c>
      <c r="B74" s="130"/>
      <c r="C74" s="131">
        <v>200</v>
      </c>
      <c r="D74" s="131">
        <v>201</v>
      </c>
      <c r="E74" s="131">
        <v>202</v>
      </c>
      <c r="F74" s="131">
        <v>203</v>
      </c>
      <c r="G74" s="131">
        <v>204</v>
      </c>
      <c r="H74" s="131">
        <v>205</v>
      </c>
      <c r="I74" s="131">
        <v>0</v>
      </c>
      <c r="J74" s="131">
        <v>0</v>
      </c>
      <c r="K74" s="131">
        <v>0</v>
      </c>
      <c r="L74" s="131">
        <v>0</v>
      </c>
      <c r="M74" s="131">
        <v>0</v>
      </c>
      <c r="N74" s="131">
        <v>0</v>
      </c>
      <c r="O74" s="131">
        <v>0</v>
      </c>
      <c r="P74" s="131">
        <v>0</v>
      </c>
      <c r="Q74" s="131">
        <v>0</v>
      </c>
      <c r="R74" s="131">
        <v>0</v>
      </c>
      <c r="T74" s="632"/>
      <c r="U74" s="633"/>
      <c r="V74" s="634"/>
    </row>
    <row r="75" spans="1:23">
      <c r="A75" s="126" t="s">
        <v>186</v>
      </c>
      <c r="B75" s="130"/>
      <c r="C75" s="654">
        <f t="shared" ref="C75:R75" si="31">C58</f>
        <v>-100</v>
      </c>
      <c r="D75" s="654">
        <f t="shared" si="31"/>
        <v>-100</v>
      </c>
      <c r="E75" s="654">
        <f t="shared" si="31"/>
        <v>3100</v>
      </c>
      <c r="F75" s="654">
        <f t="shared" si="31"/>
        <v>5450</v>
      </c>
      <c r="G75" s="654">
        <f t="shared" si="31"/>
        <v>-2500</v>
      </c>
      <c r="H75" s="654">
        <f t="shared" si="31"/>
        <v>-19850</v>
      </c>
      <c r="I75" s="654">
        <f t="shared" si="31"/>
        <v>0</v>
      </c>
      <c r="J75" s="654">
        <f t="shared" si="31"/>
        <v>0</v>
      </c>
      <c r="K75" s="654">
        <f t="shared" si="31"/>
        <v>0</v>
      </c>
      <c r="L75" s="654">
        <f t="shared" si="31"/>
        <v>0</v>
      </c>
      <c r="M75" s="654">
        <f t="shared" si="31"/>
        <v>0</v>
      </c>
      <c r="N75" s="654">
        <f t="shared" si="31"/>
        <v>0</v>
      </c>
      <c r="O75" s="654">
        <f t="shared" si="31"/>
        <v>0</v>
      </c>
      <c r="P75" s="654">
        <f t="shared" si="31"/>
        <v>0</v>
      </c>
      <c r="Q75" s="654">
        <f t="shared" si="31"/>
        <v>0</v>
      </c>
      <c r="R75" s="654">
        <f t="shared" si="31"/>
        <v>0</v>
      </c>
      <c r="T75" s="136" t="s">
        <v>322</v>
      </c>
      <c r="U75" s="19">
        <f ca="1">(U82-U83)/U82</f>
        <v>0.27683473606778836</v>
      </c>
      <c r="V75" s="25">
        <f t="shared" ref="V75:V83" ca="1" si="32">U75/U53-1</f>
        <v>9.9215652186838588E-2</v>
      </c>
    </row>
    <row r="76" spans="1:23">
      <c r="A76" s="126" t="s">
        <v>315</v>
      </c>
      <c r="B76" s="137"/>
      <c r="C76" s="131">
        <v>50</v>
      </c>
      <c r="D76" s="131">
        <v>50</v>
      </c>
      <c r="E76" s="131">
        <v>50</v>
      </c>
      <c r="F76" s="131">
        <v>50</v>
      </c>
      <c r="G76" s="131">
        <v>50</v>
      </c>
      <c r="H76" s="131">
        <v>50</v>
      </c>
      <c r="I76" s="131">
        <v>0</v>
      </c>
      <c r="J76" s="131">
        <v>0</v>
      </c>
      <c r="K76" s="131">
        <v>0</v>
      </c>
      <c r="L76" s="131">
        <v>0</v>
      </c>
      <c r="M76" s="131">
        <v>0</v>
      </c>
      <c r="N76" s="131">
        <v>0</v>
      </c>
      <c r="O76" s="131">
        <v>0</v>
      </c>
      <c r="P76" s="131">
        <v>0</v>
      </c>
      <c r="Q76" s="131">
        <v>0</v>
      </c>
      <c r="R76" s="131">
        <v>0</v>
      </c>
      <c r="T76" s="138" t="s">
        <v>403</v>
      </c>
      <c r="U76" s="20">
        <f>(U78)/(U78+U77)</f>
        <v>0.2857142857142857</v>
      </c>
      <c r="V76" s="25">
        <f t="shared" si="32"/>
        <v>-0.70684523809523814</v>
      </c>
    </row>
    <row r="77" spans="1:23">
      <c r="A77" s="126" t="s">
        <v>188</v>
      </c>
      <c r="B77" s="130"/>
      <c r="C77" s="131">
        <v>50</v>
      </c>
      <c r="D77" s="131">
        <v>50</v>
      </c>
      <c r="E77" s="131">
        <v>50</v>
      </c>
      <c r="F77" s="131">
        <v>50</v>
      </c>
      <c r="G77" s="131">
        <v>50</v>
      </c>
      <c r="H77" s="131">
        <v>50</v>
      </c>
      <c r="I77" s="131">
        <v>0</v>
      </c>
      <c r="J77" s="131">
        <v>0</v>
      </c>
      <c r="K77" s="131">
        <v>0</v>
      </c>
      <c r="L77" s="131">
        <v>0</v>
      </c>
      <c r="M77" s="131">
        <v>0</v>
      </c>
      <c r="N77" s="131">
        <v>0</v>
      </c>
      <c r="O77" s="131">
        <v>0</v>
      </c>
      <c r="P77" s="131">
        <v>0</v>
      </c>
      <c r="Q77" s="131">
        <v>0</v>
      </c>
      <c r="R77" s="131">
        <v>0</v>
      </c>
      <c r="T77" s="138" t="str">
        <f>A77</f>
        <v>Unités vendues B2B</v>
      </c>
      <c r="U77" s="21">
        <f>SUM(C77:R77)</f>
        <v>300</v>
      </c>
      <c r="V77" s="25">
        <f t="shared" si="32"/>
        <v>-0.6</v>
      </c>
    </row>
    <row r="78" spans="1:23">
      <c r="A78" s="126" t="s">
        <v>190</v>
      </c>
      <c r="B78" s="130"/>
      <c r="C78" s="131">
        <v>20</v>
      </c>
      <c r="D78" s="131">
        <v>20</v>
      </c>
      <c r="E78" s="131">
        <v>20</v>
      </c>
      <c r="F78" s="131">
        <v>20</v>
      </c>
      <c r="G78" s="131">
        <v>20</v>
      </c>
      <c r="H78" s="131">
        <v>20</v>
      </c>
      <c r="I78" s="131">
        <v>0</v>
      </c>
      <c r="J78" s="131">
        <v>0</v>
      </c>
      <c r="K78" s="131">
        <v>0</v>
      </c>
      <c r="L78" s="131">
        <v>0</v>
      </c>
      <c r="M78" s="131">
        <v>0</v>
      </c>
      <c r="N78" s="131">
        <v>0</v>
      </c>
      <c r="O78" s="131">
        <v>0</v>
      </c>
      <c r="P78" s="131">
        <v>0</v>
      </c>
      <c r="Q78" s="131">
        <v>0</v>
      </c>
      <c r="R78" s="131">
        <v>0</v>
      </c>
      <c r="T78" s="138" t="str">
        <f>A78</f>
        <v>Unités vendues B2C</v>
      </c>
      <c r="U78" s="21">
        <f>SUM(C78:R78)</f>
        <v>120</v>
      </c>
      <c r="V78" s="25">
        <f t="shared" si="32"/>
        <v>-0.99583333333333335</v>
      </c>
    </row>
    <row r="79" spans="1:23">
      <c r="A79" s="126" t="s">
        <v>317</v>
      </c>
      <c r="B79" s="137"/>
      <c r="C79" s="22">
        <f>IFERROR(C77/(C77+C78),"")</f>
        <v>0.7142857142857143</v>
      </c>
      <c r="D79" s="22">
        <f t="shared" ref="D79:R79" si="33">IFERROR(D77/(D77+D78),"")</f>
        <v>0.7142857142857143</v>
      </c>
      <c r="E79" s="22">
        <f t="shared" si="33"/>
        <v>0.7142857142857143</v>
      </c>
      <c r="F79" s="22">
        <f t="shared" si="33"/>
        <v>0.7142857142857143</v>
      </c>
      <c r="G79" s="22">
        <f t="shared" si="33"/>
        <v>0.7142857142857143</v>
      </c>
      <c r="H79" s="22">
        <f t="shared" si="33"/>
        <v>0.7142857142857143</v>
      </c>
      <c r="I79" s="22" t="str">
        <f t="shared" si="33"/>
        <v/>
      </c>
      <c r="J79" s="22" t="str">
        <f t="shared" si="33"/>
        <v/>
      </c>
      <c r="K79" s="22" t="str">
        <f t="shared" si="33"/>
        <v/>
      </c>
      <c r="L79" s="22" t="str">
        <f t="shared" si="33"/>
        <v/>
      </c>
      <c r="M79" s="22" t="str">
        <f t="shared" si="33"/>
        <v/>
      </c>
      <c r="N79" s="22" t="str">
        <f t="shared" si="33"/>
        <v/>
      </c>
      <c r="O79" s="22" t="str">
        <f t="shared" si="33"/>
        <v/>
      </c>
      <c r="P79" s="22" t="str">
        <f t="shared" si="33"/>
        <v/>
      </c>
      <c r="Q79" s="22" t="str">
        <f t="shared" si="33"/>
        <v/>
      </c>
      <c r="R79" s="22" t="str">
        <f t="shared" si="33"/>
        <v/>
      </c>
      <c r="S79" s="628"/>
      <c r="T79" s="138" t="s">
        <v>402</v>
      </c>
      <c r="U79" s="23">
        <f ca="1">SUMPRODUCT(C78:R78,C$7:R$7)/U82</f>
        <v>0.31510599019670255</v>
      </c>
      <c r="V79" s="25">
        <f t="shared" ca="1" si="32"/>
        <v>-0.67775969720117979</v>
      </c>
    </row>
    <row r="80" spans="1:23">
      <c r="A80" s="126" t="s">
        <v>483</v>
      </c>
      <c r="B80" s="139"/>
      <c r="C80" s="649">
        <f>IFERROR(C74-C77-C78-C76,"")</f>
        <v>80</v>
      </c>
      <c r="D80" s="649">
        <f t="shared" ref="D80:R80" si="34">IFERROR(D74-D77-D78-D76,"")</f>
        <v>81</v>
      </c>
      <c r="E80" s="649">
        <f t="shared" si="34"/>
        <v>82</v>
      </c>
      <c r="F80" s="649">
        <f t="shared" si="34"/>
        <v>83</v>
      </c>
      <c r="G80" s="649">
        <f t="shared" si="34"/>
        <v>84</v>
      </c>
      <c r="H80" s="649">
        <f t="shared" si="34"/>
        <v>85</v>
      </c>
      <c r="I80" s="649">
        <f t="shared" si="34"/>
        <v>0</v>
      </c>
      <c r="J80" s="649">
        <f t="shared" si="34"/>
        <v>0</v>
      </c>
      <c r="K80" s="649">
        <f t="shared" si="34"/>
        <v>0</v>
      </c>
      <c r="L80" s="649">
        <f t="shared" si="34"/>
        <v>0</v>
      </c>
      <c r="M80" s="649">
        <f t="shared" si="34"/>
        <v>0</v>
      </c>
      <c r="N80" s="649">
        <f t="shared" si="34"/>
        <v>0</v>
      </c>
      <c r="O80" s="649">
        <f t="shared" si="34"/>
        <v>0</v>
      </c>
      <c r="P80" s="649">
        <f t="shared" si="34"/>
        <v>0</v>
      </c>
      <c r="Q80" s="649">
        <f t="shared" si="34"/>
        <v>0</v>
      </c>
      <c r="R80" s="649">
        <f t="shared" si="34"/>
        <v>0</v>
      </c>
      <c r="S80" s="628"/>
      <c r="T80" s="138" t="s">
        <v>484</v>
      </c>
      <c r="U80" s="24">
        <f ca="1">SUMPRODUCT(C80:R80,C$11:R$11)</f>
        <v>580.23030999999992</v>
      </c>
      <c r="V80" s="25">
        <f t="shared" ca="1" si="32"/>
        <v>-1.0353571428571429</v>
      </c>
    </row>
    <row r="81" spans="1:23">
      <c r="A81" s="126" t="s">
        <v>506</v>
      </c>
      <c r="C81" s="27">
        <f ca="1">IFERROR(C$19*(C77+C78),"")</f>
        <v>54.444444444444443</v>
      </c>
      <c r="D81" s="27">
        <f t="shared" ref="D81:R81" ca="1" si="35">IFERROR(D$19*(D77+D78),"")</f>
        <v>54.444444444444443</v>
      </c>
      <c r="E81" s="27">
        <f t="shared" ca="1" si="35"/>
        <v>54.444444444444443</v>
      </c>
      <c r="F81" s="27">
        <f t="shared" ca="1" si="35"/>
        <v>54.444444444444443</v>
      </c>
      <c r="G81" s="27">
        <f t="shared" ca="1" si="35"/>
        <v>54.444444444444443</v>
      </c>
      <c r="H81" s="27">
        <f t="shared" ca="1" si="35"/>
        <v>54.444444444444443</v>
      </c>
      <c r="I81" s="650">
        <f t="shared" ca="1" si="35"/>
        <v>0</v>
      </c>
      <c r="J81" s="650">
        <f t="shared" ca="1" si="35"/>
        <v>0</v>
      </c>
      <c r="K81" s="650" t="str">
        <f t="shared" ca="1" si="35"/>
        <v/>
      </c>
      <c r="L81" s="650" t="str">
        <f t="shared" ca="1" si="35"/>
        <v/>
      </c>
      <c r="M81" s="650" t="str">
        <f t="shared" ca="1" si="35"/>
        <v/>
      </c>
      <c r="N81" s="650" t="str">
        <f t="shared" ca="1" si="35"/>
        <v/>
      </c>
      <c r="O81" s="650" t="str">
        <f t="shared" ca="1" si="35"/>
        <v/>
      </c>
      <c r="P81" s="650" t="str">
        <f t="shared" ca="1" si="35"/>
        <v/>
      </c>
      <c r="Q81" s="650" t="str">
        <f t="shared" ca="1" si="35"/>
        <v/>
      </c>
      <c r="R81" s="650" t="str">
        <f t="shared" ca="1" si="35"/>
        <v/>
      </c>
      <c r="S81" s="628"/>
      <c r="T81" s="138" t="s">
        <v>507</v>
      </c>
      <c r="U81" s="24">
        <f ca="1">SUM(C81:R81)</f>
        <v>326.66666666666669</v>
      </c>
      <c r="V81" s="25">
        <f t="shared" ca="1" si="32"/>
        <v>-0.98578680203045688</v>
      </c>
    </row>
    <row r="82" spans="1:23">
      <c r="A82" s="126" t="s">
        <v>189</v>
      </c>
      <c r="B82" s="139"/>
      <c r="C82" s="653">
        <f t="shared" ref="C82:R82" ca="1" si="36">IFERROR((C77*C$6)+(C$7*C78),"")</f>
        <v>296.3962264150943</v>
      </c>
      <c r="D82" s="653">
        <f t="shared" ca="1" si="36"/>
        <v>296.3962264150943</v>
      </c>
      <c r="E82" s="653">
        <f t="shared" ca="1" si="36"/>
        <v>296.3962264150943</v>
      </c>
      <c r="F82" s="653">
        <f t="shared" ca="1" si="36"/>
        <v>296.3962264150943</v>
      </c>
      <c r="G82" s="653">
        <f t="shared" ca="1" si="36"/>
        <v>296.3962264150943</v>
      </c>
      <c r="H82" s="653">
        <f t="shared" ca="1" si="36"/>
        <v>296.3962264150943</v>
      </c>
      <c r="I82" s="653">
        <f t="shared" ca="1" si="36"/>
        <v>0</v>
      </c>
      <c r="J82" s="653">
        <f t="shared" ca="1" si="36"/>
        <v>0</v>
      </c>
      <c r="K82" s="653" t="str">
        <f t="shared" ca="1" si="36"/>
        <v/>
      </c>
      <c r="L82" s="653" t="str">
        <f t="shared" ca="1" si="36"/>
        <v/>
      </c>
      <c r="M82" s="653" t="str">
        <f t="shared" ca="1" si="36"/>
        <v/>
      </c>
      <c r="N82" s="653" t="str">
        <f t="shared" ca="1" si="36"/>
        <v/>
      </c>
      <c r="O82" s="653" t="str">
        <f t="shared" ca="1" si="36"/>
        <v/>
      </c>
      <c r="P82" s="653" t="str">
        <f t="shared" ca="1" si="36"/>
        <v/>
      </c>
      <c r="Q82" s="653" t="str">
        <f t="shared" ca="1" si="36"/>
        <v/>
      </c>
      <c r="R82" s="653" t="str">
        <f t="shared" ca="1" si="36"/>
        <v/>
      </c>
      <c r="T82" s="138" t="str">
        <f>A82</f>
        <v>C.A total (B2B+B2C)</v>
      </c>
      <c r="U82" s="652">
        <f ca="1">SUM(C82:R82)</f>
        <v>1778.3773584905659</v>
      </c>
      <c r="V82" s="25">
        <f t="shared" ca="1" si="32"/>
        <v>-0.98706969106447251</v>
      </c>
    </row>
    <row r="83" spans="1:23">
      <c r="A83" s="126" t="s">
        <v>316</v>
      </c>
      <c r="C83" s="651">
        <f t="shared" ref="C83:R83" ca="1" si="37">IFERROR((C77*C$12)+(C$13*C78),"")</f>
        <v>214.34345530398323</v>
      </c>
      <c r="D83" s="651">
        <f t="shared" ca="1" si="37"/>
        <v>214.34345530398323</v>
      </c>
      <c r="E83" s="651">
        <f t="shared" ca="1" si="37"/>
        <v>214.34345530398323</v>
      </c>
      <c r="F83" s="651">
        <f t="shared" ca="1" si="37"/>
        <v>214.34345530398323</v>
      </c>
      <c r="G83" s="651">
        <f t="shared" ca="1" si="37"/>
        <v>214.34345530398323</v>
      </c>
      <c r="H83" s="651">
        <f t="shared" ca="1" si="37"/>
        <v>214.34345530398323</v>
      </c>
      <c r="I83" s="651">
        <f t="shared" ca="1" si="37"/>
        <v>0</v>
      </c>
      <c r="J83" s="651">
        <f t="shared" ca="1" si="37"/>
        <v>0</v>
      </c>
      <c r="K83" s="651" t="str">
        <f t="shared" ca="1" si="37"/>
        <v/>
      </c>
      <c r="L83" s="651" t="str">
        <f t="shared" ca="1" si="37"/>
        <v/>
      </c>
      <c r="M83" s="651" t="str">
        <f t="shared" ca="1" si="37"/>
        <v/>
      </c>
      <c r="N83" s="651" t="str">
        <f t="shared" ca="1" si="37"/>
        <v/>
      </c>
      <c r="O83" s="651" t="str">
        <f t="shared" ca="1" si="37"/>
        <v/>
      </c>
      <c r="P83" s="651" t="str">
        <f t="shared" ca="1" si="37"/>
        <v/>
      </c>
      <c r="Q83" s="651" t="str">
        <f t="shared" ca="1" si="37"/>
        <v/>
      </c>
      <c r="R83" s="651" t="str">
        <f t="shared" ca="1" si="37"/>
        <v/>
      </c>
      <c r="T83" s="138" t="str">
        <f>A83</f>
        <v>MB Total (B2B + B2C)</v>
      </c>
      <c r="U83" s="652">
        <f ca="1">SUM(C83:R83)</f>
        <v>1286.0607318238995</v>
      </c>
      <c r="V83" s="25">
        <f t="shared" ca="1" si="32"/>
        <v>-0.98750154477140428</v>
      </c>
    </row>
    <row r="84" spans="1:23">
      <c r="A84" s="126" t="s">
        <v>318</v>
      </c>
      <c r="C84" s="26">
        <f t="shared" ref="C84" ca="1" si="38">IFERROR(C82/$U82,"")</f>
        <v>0.16666666666666666</v>
      </c>
      <c r="D84" s="26">
        <f t="shared" ref="D84:R84" ca="1" si="39">IFERROR(D82/$U82,"")</f>
        <v>0.16666666666666666</v>
      </c>
      <c r="E84" s="26">
        <f t="shared" ca="1" si="39"/>
        <v>0.16666666666666666</v>
      </c>
      <c r="F84" s="26">
        <f t="shared" ca="1" si="39"/>
        <v>0.16666666666666666</v>
      </c>
      <c r="G84" s="26">
        <f t="shared" ca="1" si="39"/>
        <v>0.16666666666666666</v>
      </c>
      <c r="H84" s="26">
        <f t="shared" ca="1" si="39"/>
        <v>0.16666666666666666</v>
      </c>
      <c r="I84" s="26">
        <f t="shared" ca="1" si="39"/>
        <v>0</v>
      </c>
      <c r="J84" s="26">
        <f t="shared" ca="1" si="39"/>
        <v>0</v>
      </c>
      <c r="K84" s="26" t="str">
        <f t="shared" ca="1" si="39"/>
        <v/>
      </c>
      <c r="L84" s="26" t="str">
        <f t="shared" ca="1" si="39"/>
        <v/>
      </c>
      <c r="M84" s="26" t="str">
        <f t="shared" ca="1" si="39"/>
        <v/>
      </c>
      <c r="N84" s="26" t="str">
        <f t="shared" ca="1" si="39"/>
        <v/>
      </c>
      <c r="O84" s="26" t="str">
        <f t="shared" ca="1" si="39"/>
        <v/>
      </c>
      <c r="P84" s="26" t="str">
        <f t="shared" ca="1" si="39"/>
        <v/>
      </c>
      <c r="Q84" s="26" t="str">
        <f t="shared" ca="1" si="39"/>
        <v/>
      </c>
      <c r="R84" s="26" t="str">
        <f t="shared" ca="1" si="39"/>
        <v/>
      </c>
      <c r="T84" s="125"/>
    </row>
    <row r="85" spans="1:23">
      <c r="T85" s="125"/>
      <c r="W85" s="635"/>
    </row>
    <row r="86" spans="1:23">
      <c r="A86" s="625" t="str">
        <f>"Année +2 : "&amp;'1. DONNEES DE BASE'!$B$1+2</f>
        <v>Année +2 : 2028</v>
      </c>
      <c r="B86" s="625"/>
      <c r="C86" s="625"/>
      <c r="D86" s="625"/>
      <c r="E86" s="625"/>
      <c r="F86" s="625"/>
      <c r="G86" s="625"/>
      <c r="H86" s="625"/>
      <c r="I86" s="625" t="str">
        <f>"Année +2 : "&amp;'1. DONNEES DE BASE'!$B$1+2</f>
        <v>Année +2 : 2028</v>
      </c>
      <c r="J86" s="625"/>
      <c r="K86" s="625"/>
      <c r="L86" s="625"/>
      <c r="M86" s="625"/>
      <c r="N86" s="625"/>
      <c r="O86" s="625"/>
      <c r="P86" s="625"/>
      <c r="Q86" s="625"/>
      <c r="R86" s="625"/>
      <c r="T86" s="629" t="s">
        <v>191</v>
      </c>
      <c r="U86" s="630"/>
      <c r="V86" s="631" t="s">
        <v>404</v>
      </c>
    </row>
    <row r="87" spans="1:23">
      <c r="A87" s="126" t="s">
        <v>314</v>
      </c>
      <c r="B87" s="130"/>
      <c r="C87" s="131">
        <v>200</v>
      </c>
      <c r="D87" s="131">
        <v>201</v>
      </c>
      <c r="E87" s="131">
        <v>202</v>
      </c>
      <c r="F87" s="131">
        <v>203</v>
      </c>
      <c r="G87" s="131">
        <v>204</v>
      </c>
      <c r="H87" s="131">
        <v>205</v>
      </c>
      <c r="I87" s="131">
        <v>0</v>
      </c>
      <c r="J87" s="131">
        <v>0</v>
      </c>
      <c r="K87" s="131">
        <v>0</v>
      </c>
      <c r="L87" s="131">
        <v>0</v>
      </c>
      <c r="M87" s="131">
        <v>0</v>
      </c>
      <c r="N87" s="131">
        <v>0</v>
      </c>
      <c r="O87" s="131">
        <v>0</v>
      </c>
      <c r="P87" s="131">
        <v>0</v>
      </c>
      <c r="Q87" s="131">
        <v>0</v>
      </c>
      <c r="R87" s="131">
        <v>0</v>
      </c>
      <c r="T87" s="632"/>
      <c r="U87" s="633"/>
      <c r="V87" s="634"/>
    </row>
    <row r="88" spans="1:23">
      <c r="A88" s="126" t="s">
        <v>186</v>
      </c>
      <c r="B88" s="130"/>
      <c r="C88" s="654">
        <f t="shared" ref="C88:R88" si="40">C80</f>
        <v>80</v>
      </c>
      <c r="D88" s="654">
        <f t="shared" si="40"/>
        <v>81</v>
      </c>
      <c r="E88" s="654">
        <f t="shared" si="40"/>
        <v>82</v>
      </c>
      <c r="F88" s="654">
        <f t="shared" si="40"/>
        <v>83</v>
      </c>
      <c r="G88" s="654">
        <f t="shared" si="40"/>
        <v>84</v>
      </c>
      <c r="H88" s="654">
        <f t="shared" si="40"/>
        <v>85</v>
      </c>
      <c r="I88" s="654">
        <f t="shared" si="40"/>
        <v>0</v>
      </c>
      <c r="J88" s="654">
        <f t="shared" si="40"/>
        <v>0</v>
      </c>
      <c r="K88" s="654">
        <f t="shared" si="40"/>
        <v>0</v>
      </c>
      <c r="L88" s="654">
        <f t="shared" si="40"/>
        <v>0</v>
      </c>
      <c r="M88" s="654">
        <f t="shared" si="40"/>
        <v>0</v>
      </c>
      <c r="N88" s="654">
        <f t="shared" si="40"/>
        <v>0</v>
      </c>
      <c r="O88" s="654">
        <f t="shared" si="40"/>
        <v>0</v>
      </c>
      <c r="P88" s="654">
        <f t="shared" si="40"/>
        <v>0</v>
      </c>
      <c r="Q88" s="654">
        <f t="shared" si="40"/>
        <v>0</v>
      </c>
      <c r="R88" s="654">
        <f t="shared" si="40"/>
        <v>0</v>
      </c>
      <c r="T88" s="136" t="s">
        <v>322</v>
      </c>
      <c r="U88" s="19">
        <f ca="1">(U95-U96)/U95</f>
        <v>0.27683473606778836</v>
      </c>
      <c r="V88" s="25">
        <f t="shared" ref="V88:V94" ca="1" si="41">U88/U75-1</f>
        <v>0</v>
      </c>
    </row>
    <row r="89" spans="1:23">
      <c r="A89" s="126" t="s">
        <v>315</v>
      </c>
      <c r="B89" s="137"/>
      <c r="C89" s="131">
        <v>50</v>
      </c>
      <c r="D89" s="131">
        <v>50</v>
      </c>
      <c r="E89" s="131">
        <v>50</v>
      </c>
      <c r="F89" s="131">
        <v>50</v>
      </c>
      <c r="G89" s="131">
        <v>50</v>
      </c>
      <c r="H89" s="131">
        <v>50</v>
      </c>
      <c r="I89" s="131">
        <v>0</v>
      </c>
      <c r="J89" s="131">
        <v>0</v>
      </c>
      <c r="K89" s="131">
        <v>0</v>
      </c>
      <c r="L89" s="131">
        <v>0</v>
      </c>
      <c r="M89" s="131">
        <v>0</v>
      </c>
      <c r="N89" s="131">
        <v>0</v>
      </c>
      <c r="O89" s="131">
        <v>0</v>
      </c>
      <c r="P89" s="131">
        <v>0</v>
      </c>
      <c r="Q89" s="131">
        <v>0</v>
      </c>
      <c r="R89" s="131">
        <v>0</v>
      </c>
      <c r="T89" s="138" t="s">
        <v>403</v>
      </c>
      <c r="U89" s="20">
        <f>(U91)/(U91+U90)</f>
        <v>0.2857142857142857</v>
      </c>
      <c r="V89" s="25">
        <f t="shared" si="41"/>
        <v>0</v>
      </c>
    </row>
    <row r="90" spans="1:23">
      <c r="A90" s="126" t="s">
        <v>188</v>
      </c>
      <c r="B90" s="130"/>
      <c r="C90" s="131">
        <v>50</v>
      </c>
      <c r="D90" s="131">
        <v>50</v>
      </c>
      <c r="E90" s="131">
        <v>50</v>
      </c>
      <c r="F90" s="131">
        <v>50</v>
      </c>
      <c r="G90" s="131">
        <v>50</v>
      </c>
      <c r="H90" s="131">
        <v>50</v>
      </c>
      <c r="I90" s="131">
        <v>0</v>
      </c>
      <c r="J90" s="131">
        <v>0</v>
      </c>
      <c r="K90" s="131">
        <v>0</v>
      </c>
      <c r="L90" s="131">
        <v>0</v>
      </c>
      <c r="M90" s="131">
        <v>0</v>
      </c>
      <c r="N90" s="131">
        <v>0</v>
      </c>
      <c r="O90" s="131">
        <v>0</v>
      </c>
      <c r="P90" s="131">
        <v>0</v>
      </c>
      <c r="Q90" s="131">
        <v>0</v>
      </c>
      <c r="R90" s="131">
        <v>0</v>
      </c>
      <c r="T90" s="138" t="str">
        <f>A90</f>
        <v>Unités vendues B2B</v>
      </c>
      <c r="U90" s="21">
        <f>SUM(C90:R90)</f>
        <v>300</v>
      </c>
      <c r="V90" s="25">
        <f t="shared" si="41"/>
        <v>0</v>
      </c>
    </row>
    <row r="91" spans="1:23">
      <c r="A91" s="126" t="s">
        <v>190</v>
      </c>
      <c r="B91" s="130"/>
      <c r="C91" s="131">
        <v>20</v>
      </c>
      <c r="D91" s="131">
        <v>20</v>
      </c>
      <c r="E91" s="131">
        <v>20</v>
      </c>
      <c r="F91" s="131">
        <v>20</v>
      </c>
      <c r="G91" s="131">
        <v>20</v>
      </c>
      <c r="H91" s="131">
        <v>20</v>
      </c>
      <c r="I91" s="131">
        <v>0</v>
      </c>
      <c r="J91" s="131">
        <v>0</v>
      </c>
      <c r="K91" s="131">
        <v>0</v>
      </c>
      <c r="L91" s="131">
        <v>0</v>
      </c>
      <c r="M91" s="131">
        <v>0</v>
      </c>
      <c r="N91" s="131">
        <v>0</v>
      </c>
      <c r="O91" s="131">
        <v>0</v>
      </c>
      <c r="P91" s="131">
        <v>0</v>
      </c>
      <c r="Q91" s="131">
        <v>0</v>
      </c>
      <c r="R91" s="131">
        <v>0</v>
      </c>
      <c r="T91" s="138" t="str">
        <f>A91</f>
        <v>Unités vendues B2C</v>
      </c>
      <c r="U91" s="21">
        <f>SUM(C91:R91)</f>
        <v>120</v>
      </c>
      <c r="V91" s="25">
        <f t="shared" si="41"/>
        <v>0</v>
      </c>
    </row>
    <row r="92" spans="1:23">
      <c r="A92" s="126" t="s">
        <v>317</v>
      </c>
      <c r="B92" s="137"/>
      <c r="C92" s="22">
        <f>IFERROR(C90/(C90+C91),"")</f>
        <v>0.7142857142857143</v>
      </c>
      <c r="D92" s="22">
        <f t="shared" ref="D92:R92" si="42">IFERROR(D90/(D90+D91),"")</f>
        <v>0.7142857142857143</v>
      </c>
      <c r="E92" s="22">
        <f t="shared" si="42"/>
        <v>0.7142857142857143</v>
      </c>
      <c r="F92" s="22">
        <f t="shared" si="42"/>
        <v>0.7142857142857143</v>
      </c>
      <c r="G92" s="22">
        <f t="shared" si="42"/>
        <v>0.7142857142857143</v>
      </c>
      <c r="H92" s="22">
        <f t="shared" si="42"/>
        <v>0.7142857142857143</v>
      </c>
      <c r="I92" s="22" t="str">
        <f t="shared" si="42"/>
        <v/>
      </c>
      <c r="J92" s="22" t="str">
        <f t="shared" si="42"/>
        <v/>
      </c>
      <c r="K92" s="22" t="str">
        <f t="shared" si="42"/>
        <v/>
      </c>
      <c r="L92" s="22" t="str">
        <f t="shared" si="42"/>
        <v/>
      </c>
      <c r="M92" s="22" t="str">
        <f t="shared" si="42"/>
        <v/>
      </c>
      <c r="N92" s="22" t="str">
        <f t="shared" si="42"/>
        <v/>
      </c>
      <c r="O92" s="22" t="str">
        <f t="shared" si="42"/>
        <v/>
      </c>
      <c r="P92" s="22" t="str">
        <f t="shared" si="42"/>
        <v/>
      </c>
      <c r="Q92" s="22" t="str">
        <f t="shared" si="42"/>
        <v/>
      </c>
      <c r="R92" s="22" t="str">
        <f t="shared" si="42"/>
        <v/>
      </c>
      <c r="T92" s="138" t="s">
        <v>402</v>
      </c>
      <c r="U92" s="23">
        <f ca="1">SUMPRODUCT(C91:R91,C$7:R$7)/U95</f>
        <v>0.31510599019670255</v>
      </c>
      <c r="V92" s="25">
        <f t="shared" ca="1" si="41"/>
        <v>0</v>
      </c>
    </row>
    <row r="93" spans="1:23">
      <c r="A93" s="126" t="s">
        <v>483</v>
      </c>
      <c r="B93" s="139"/>
      <c r="C93" s="649">
        <f>IFERROR(C87-C90-C91-C89,"")</f>
        <v>80</v>
      </c>
      <c r="D93" s="649">
        <f t="shared" ref="D93:R93" si="43">IFERROR(D87-D90-D91-D89,"")</f>
        <v>81</v>
      </c>
      <c r="E93" s="649">
        <f t="shared" si="43"/>
        <v>82</v>
      </c>
      <c r="F93" s="649">
        <f t="shared" si="43"/>
        <v>83</v>
      </c>
      <c r="G93" s="649">
        <f t="shared" si="43"/>
        <v>84</v>
      </c>
      <c r="H93" s="649">
        <f t="shared" si="43"/>
        <v>85</v>
      </c>
      <c r="I93" s="649">
        <f t="shared" si="43"/>
        <v>0</v>
      </c>
      <c r="J93" s="649">
        <f t="shared" si="43"/>
        <v>0</v>
      </c>
      <c r="K93" s="649">
        <f t="shared" si="43"/>
        <v>0</v>
      </c>
      <c r="L93" s="649">
        <f t="shared" si="43"/>
        <v>0</v>
      </c>
      <c r="M93" s="649">
        <f t="shared" si="43"/>
        <v>0</v>
      </c>
      <c r="N93" s="649">
        <f t="shared" si="43"/>
        <v>0</v>
      </c>
      <c r="O93" s="649">
        <f t="shared" si="43"/>
        <v>0</v>
      </c>
      <c r="P93" s="649">
        <f t="shared" si="43"/>
        <v>0</v>
      </c>
      <c r="Q93" s="649">
        <f t="shared" si="43"/>
        <v>0</v>
      </c>
      <c r="R93" s="649">
        <f t="shared" si="43"/>
        <v>0</v>
      </c>
      <c r="S93" s="628"/>
      <c r="T93" s="138" t="s">
        <v>484</v>
      </c>
      <c r="U93" s="24">
        <f ca="1">SUMPRODUCT(C93:R93,C$11:R$11)</f>
        <v>580.23030999999992</v>
      </c>
      <c r="V93" s="25">
        <f t="shared" ca="1" si="41"/>
        <v>0</v>
      </c>
    </row>
    <row r="94" spans="1:23">
      <c r="A94" s="126" t="s">
        <v>506</v>
      </c>
      <c r="C94" s="27">
        <f ca="1">IFERROR(C$19*(C90+C91),"")</f>
        <v>54.444444444444443</v>
      </c>
      <c r="D94" s="27">
        <f t="shared" ref="D94:R94" ca="1" si="44">IFERROR(D$19*(D90+D91),"")</f>
        <v>54.444444444444443</v>
      </c>
      <c r="E94" s="27">
        <f t="shared" ca="1" si="44"/>
        <v>54.444444444444443</v>
      </c>
      <c r="F94" s="27">
        <f t="shared" ca="1" si="44"/>
        <v>54.444444444444443</v>
      </c>
      <c r="G94" s="27">
        <f t="shared" ca="1" si="44"/>
        <v>54.444444444444443</v>
      </c>
      <c r="H94" s="27">
        <f t="shared" ca="1" si="44"/>
        <v>54.444444444444443</v>
      </c>
      <c r="I94" s="650">
        <f t="shared" ca="1" si="44"/>
        <v>0</v>
      </c>
      <c r="J94" s="650">
        <f t="shared" ca="1" si="44"/>
        <v>0</v>
      </c>
      <c r="K94" s="650" t="str">
        <f t="shared" ca="1" si="44"/>
        <v/>
      </c>
      <c r="L94" s="650" t="str">
        <f t="shared" ca="1" si="44"/>
        <v/>
      </c>
      <c r="M94" s="650" t="str">
        <f t="shared" ca="1" si="44"/>
        <v/>
      </c>
      <c r="N94" s="650" t="str">
        <f t="shared" ca="1" si="44"/>
        <v/>
      </c>
      <c r="O94" s="650" t="str">
        <f t="shared" ca="1" si="44"/>
        <v/>
      </c>
      <c r="P94" s="650" t="str">
        <f t="shared" ca="1" si="44"/>
        <v/>
      </c>
      <c r="Q94" s="650" t="str">
        <f t="shared" ca="1" si="44"/>
        <v/>
      </c>
      <c r="R94" s="650" t="str">
        <f t="shared" ca="1" si="44"/>
        <v/>
      </c>
      <c r="S94" s="628"/>
      <c r="T94" s="138" t="s">
        <v>507</v>
      </c>
      <c r="U94" s="24">
        <f ca="1">SUM(C94:R94)</f>
        <v>326.66666666666669</v>
      </c>
      <c r="V94" s="25">
        <f t="shared" ca="1" si="41"/>
        <v>0</v>
      </c>
    </row>
    <row r="95" spans="1:23">
      <c r="A95" s="126" t="s">
        <v>189</v>
      </c>
      <c r="B95" s="139"/>
      <c r="C95" s="653">
        <f t="shared" ref="C95:R95" ca="1" si="45">IFERROR((C90*C$6)+(C$7*C91),"")</f>
        <v>296.3962264150943</v>
      </c>
      <c r="D95" s="653">
        <f t="shared" ca="1" si="45"/>
        <v>296.3962264150943</v>
      </c>
      <c r="E95" s="653">
        <f t="shared" ca="1" si="45"/>
        <v>296.3962264150943</v>
      </c>
      <c r="F95" s="653">
        <f t="shared" ca="1" si="45"/>
        <v>296.3962264150943</v>
      </c>
      <c r="G95" s="653">
        <f t="shared" ca="1" si="45"/>
        <v>296.3962264150943</v>
      </c>
      <c r="H95" s="653">
        <f t="shared" ca="1" si="45"/>
        <v>296.3962264150943</v>
      </c>
      <c r="I95" s="653">
        <f t="shared" ca="1" si="45"/>
        <v>0</v>
      </c>
      <c r="J95" s="653">
        <f t="shared" ca="1" si="45"/>
        <v>0</v>
      </c>
      <c r="K95" s="653" t="str">
        <f t="shared" ca="1" si="45"/>
        <v/>
      </c>
      <c r="L95" s="653" t="str">
        <f t="shared" ca="1" si="45"/>
        <v/>
      </c>
      <c r="M95" s="653" t="str">
        <f t="shared" ca="1" si="45"/>
        <v/>
      </c>
      <c r="N95" s="653" t="str">
        <f t="shared" ca="1" si="45"/>
        <v/>
      </c>
      <c r="O95" s="653" t="str">
        <f t="shared" ca="1" si="45"/>
        <v/>
      </c>
      <c r="P95" s="653" t="str">
        <f t="shared" ca="1" si="45"/>
        <v/>
      </c>
      <c r="Q95" s="653" t="str">
        <f t="shared" ca="1" si="45"/>
        <v/>
      </c>
      <c r="R95" s="653" t="str">
        <f t="shared" ca="1" si="45"/>
        <v/>
      </c>
      <c r="T95" s="138" t="str">
        <f>A95</f>
        <v>C.A total (B2B+B2C)</v>
      </c>
      <c r="U95" s="652">
        <f ca="1">SUM(C95:R95)</f>
        <v>1778.3773584905659</v>
      </c>
      <c r="V95" s="25">
        <f ca="1">U95/U80-1</f>
        <v>2.0649508097751155</v>
      </c>
    </row>
    <row r="96" spans="1:23">
      <c r="A96" s="126" t="s">
        <v>316</v>
      </c>
      <c r="C96" s="651">
        <f t="shared" ref="C96:R96" ca="1" si="46">IFERROR((C90*C$12)+(C$13*C91),"")</f>
        <v>214.34345530398323</v>
      </c>
      <c r="D96" s="651">
        <f t="shared" ca="1" si="46"/>
        <v>214.34345530398323</v>
      </c>
      <c r="E96" s="651">
        <f t="shared" ca="1" si="46"/>
        <v>214.34345530398323</v>
      </c>
      <c r="F96" s="651">
        <f t="shared" ca="1" si="46"/>
        <v>214.34345530398323</v>
      </c>
      <c r="G96" s="651">
        <f t="shared" ca="1" si="46"/>
        <v>214.34345530398323</v>
      </c>
      <c r="H96" s="651">
        <f t="shared" ca="1" si="46"/>
        <v>214.34345530398323</v>
      </c>
      <c r="I96" s="651">
        <f t="shared" ca="1" si="46"/>
        <v>0</v>
      </c>
      <c r="J96" s="651">
        <f t="shared" ca="1" si="46"/>
        <v>0</v>
      </c>
      <c r="K96" s="651" t="str">
        <f t="shared" ca="1" si="46"/>
        <v/>
      </c>
      <c r="L96" s="651" t="str">
        <f t="shared" ca="1" si="46"/>
        <v/>
      </c>
      <c r="M96" s="651" t="str">
        <f t="shared" ca="1" si="46"/>
        <v/>
      </c>
      <c r="N96" s="651" t="str">
        <f t="shared" ca="1" si="46"/>
        <v/>
      </c>
      <c r="O96" s="651" t="str">
        <f t="shared" ca="1" si="46"/>
        <v/>
      </c>
      <c r="P96" s="651" t="str">
        <f t="shared" ca="1" si="46"/>
        <v/>
      </c>
      <c r="Q96" s="651" t="str">
        <f t="shared" ca="1" si="46"/>
        <v/>
      </c>
      <c r="R96" s="651" t="str">
        <f t="shared" ca="1" si="46"/>
        <v/>
      </c>
      <c r="T96" s="138" t="str">
        <f>A96</f>
        <v>MB Total (B2B + B2C)</v>
      </c>
      <c r="U96" s="652">
        <f ca="1">SUM(C96:R96)</f>
        <v>1286.0607318238995</v>
      </c>
      <c r="V96" s="25">
        <f ca="1">U96/U82-1</f>
        <v>-0.27683473606778841</v>
      </c>
    </row>
    <row r="97" spans="1:21">
      <c r="A97" s="126" t="s">
        <v>318</v>
      </c>
      <c r="C97" s="26">
        <f t="shared" ref="C97:R97" ca="1" si="47">IFERROR(C95/$U95,"")</f>
        <v>0.16666666666666666</v>
      </c>
      <c r="D97" s="26">
        <f t="shared" ca="1" si="47"/>
        <v>0.16666666666666666</v>
      </c>
      <c r="E97" s="26">
        <f t="shared" ca="1" si="47"/>
        <v>0.16666666666666666</v>
      </c>
      <c r="F97" s="26">
        <f t="shared" ca="1" si="47"/>
        <v>0.16666666666666666</v>
      </c>
      <c r="G97" s="26">
        <f t="shared" ca="1" si="47"/>
        <v>0.16666666666666666</v>
      </c>
      <c r="H97" s="26">
        <f t="shared" ca="1" si="47"/>
        <v>0.16666666666666666</v>
      </c>
      <c r="I97" s="26">
        <f t="shared" ca="1" si="47"/>
        <v>0</v>
      </c>
      <c r="J97" s="26">
        <f t="shared" ca="1" si="47"/>
        <v>0</v>
      </c>
      <c r="K97" s="26" t="str">
        <f t="shared" ca="1" si="47"/>
        <v/>
      </c>
      <c r="L97" s="26" t="str">
        <f t="shared" ca="1" si="47"/>
        <v/>
      </c>
      <c r="M97" s="26" t="str">
        <f t="shared" ca="1" si="47"/>
        <v/>
      </c>
      <c r="N97" s="26" t="str">
        <f t="shared" ca="1" si="47"/>
        <v/>
      </c>
      <c r="O97" s="26" t="str">
        <f t="shared" ca="1" si="47"/>
        <v/>
      </c>
      <c r="P97" s="26" t="str">
        <f t="shared" ca="1" si="47"/>
        <v/>
      </c>
      <c r="Q97" s="26" t="str">
        <f t="shared" ca="1" si="47"/>
        <v/>
      </c>
      <c r="R97" s="26" t="str">
        <f t="shared" ca="1" si="47"/>
        <v/>
      </c>
      <c r="T97" s="127"/>
      <c r="U97" s="127"/>
    </row>
    <row r="98" spans="1:21">
      <c r="S98" s="125"/>
      <c r="T98" s="125"/>
      <c r="U98" s="127"/>
    </row>
    <row r="99" spans="1:21">
      <c r="S99" s="125"/>
      <c r="T99" s="125"/>
      <c r="U99" s="127"/>
    </row>
    <row r="100" spans="1:21">
      <c r="S100" s="125"/>
      <c r="T100" s="125"/>
      <c r="U100" s="127"/>
    </row>
    <row r="101" spans="1:21">
      <c r="S101" s="125"/>
      <c r="T101" s="125"/>
    </row>
    <row r="102" spans="1:21">
      <c r="S102" s="125"/>
      <c r="T102" s="125"/>
    </row>
    <row r="103" spans="1:21">
      <c r="S103" s="125"/>
      <c r="T103" s="125"/>
    </row>
    <row r="104" spans="1:21">
      <c r="S104" s="125"/>
      <c r="T104" s="125"/>
    </row>
    <row r="105" spans="1:21">
      <c r="S105" s="125"/>
      <c r="T105" s="125"/>
    </row>
    <row r="106" spans="1:21">
      <c r="S106" s="125"/>
      <c r="T106" s="125"/>
    </row>
    <row r="107" spans="1:21">
      <c r="S107" s="125"/>
      <c r="T107" s="125"/>
    </row>
    <row r="108" spans="1:21">
      <c r="S108" s="125"/>
      <c r="T108" s="125"/>
    </row>
    <row r="109" spans="1:21">
      <c r="S109" s="125"/>
      <c r="T109" s="125"/>
    </row>
    <row r="110" spans="1:21">
      <c r="S110" s="125"/>
      <c r="T110" s="125"/>
    </row>
    <row r="111" spans="1:21">
      <c r="S111" s="125"/>
      <c r="T111" s="125"/>
    </row>
    <row r="112" spans="1:21">
      <c r="S112" s="125"/>
      <c r="T112" s="125"/>
    </row>
    <row r="113" s="125" customFormat="1"/>
    <row r="114" s="125" customFormat="1"/>
    <row r="115" s="125" customFormat="1"/>
    <row r="116" s="125" customFormat="1"/>
    <row r="117" s="125" customFormat="1"/>
    <row r="118" s="125" customFormat="1"/>
    <row r="119" s="125" customFormat="1"/>
    <row r="120" s="125" customFormat="1"/>
    <row r="121" s="125" customFormat="1"/>
    <row r="122" s="125" customFormat="1"/>
    <row r="123" s="125" customFormat="1"/>
    <row r="124" s="125" customFormat="1"/>
    <row r="125" s="125" customFormat="1"/>
    <row r="126" s="125" customFormat="1"/>
    <row r="127" s="125" customFormat="1"/>
    <row r="128" s="125" customFormat="1"/>
    <row r="129" s="125" customFormat="1"/>
    <row r="130" s="125" customFormat="1"/>
    <row r="131" s="125" customFormat="1"/>
    <row r="132" s="125" customFormat="1"/>
    <row r="133" s="125" customFormat="1"/>
    <row r="134" s="125" customFormat="1"/>
    <row r="135" s="125" customFormat="1"/>
    <row r="136" s="125" customFormat="1"/>
    <row r="137" s="125" customFormat="1"/>
    <row r="138" s="125" customFormat="1"/>
    <row r="139" s="125" customFormat="1"/>
    <row r="140" s="125" customFormat="1"/>
    <row r="141" s="125" customFormat="1"/>
    <row r="142" s="125" customFormat="1"/>
    <row r="143" s="125" customFormat="1"/>
    <row r="144" s="125" customFormat="1"/>
    <row r="145" s="125" customFormat="1"/>
    <row r="146" s="125" customFormat="1"/>
    <row r="147" s="125" customFormat="1"/>
    <row r="148" s="125" customFormat="1"/>
    <row r="149" s="125" customFormat="1"/>
    <row r="150" s="125" customFormat="1"/>
    <row r="151" s="125" customFormat="1"/>
    <row r="152" s="125" customFormat="1"/>
    <row r="153" s="125" customFormat="1"/>
    <row r="154" s="125" customFormat="1"/>
    <row r="155" s="125" customFormat="1"/>
    <row r="156" s="125" customFormat="1"/>
    <row r="157" s="125" customFormat="1"/>
    <row r="158" s="125" customFormat="1"/>
    <row r="159" s="125" customFormat="1"/>
    <row r="160" s="125" customFormat="1"/>
    <row r="161" s="125" customFormat="1"/>
    <row r="162" s="125" customFormat="1"/>
    <row r="163" s="125" customFormat="1"/>
    <row r="164" s="125" customFormat="1"/>
    <row r="165" s="125" customFormat="1"/>
    <row r="166" s="125" customFormat="1"/>
    <row r="167" s="125" customFormat="1"/>
    <row r="168" s="125" customFormat="1"/>
    <row r="169" s="125" customFormat="1"/>
    <row r="170" s="125" customFormat="1"/>
    <row r="171" s="125" customFormat="1"/>
    <row r="172" s="125" customFormat="1"/>
    <row r="173" s="125" customFormat="1"/>
    <row r="174" s="125" customFormat="1"/>
    <row r="175" s="125" customFormat="1"/>
    <row r="176" s="125" customFormat="1"/>
    <row r="177" s="125" customFormat="1"/>
    <row r="178" s="125" customFormat="1"/>
    <row r="179" s="125" customFormat="1"/>
    <row r="180" s="125" customFormat="1"/>
    <row r="181" s="125" customFormat="1"/>
    <row r="182" s="125" customFormat="1"/>
    <row r="183" s="125" customFormat="1"/>
    <row r="184" s="125" customFormat="1"/>
    <row r="185" s="125" customFormat="1"/>
    <row r="186" s="125" customFormat="1"/>
    <row r="187" s="125" customFormat="1"/>
    <row r="188" s="125" customFormat="1"/>
    <row r="189" s="125" customFormat="1"/>
    <row r="190" s="125" customFormat="1"/>
    <row r="191" s="125" customFormat="1"/>
    <row r="192" s="125" customFormat="1"/>
    <row r="193" s="125" customFormat="1"/>
    <row r="194" s="125" customFormat="1"/>
    <row r="195" s="125" customFormat="1"/>
    <row r="196" s="125" customFormat="1"/>
    <row r="197" s="125" customFormat="1"/>
    <row r="198" s="125" customFormat="1"/>
    <row r="199" s="125" customFormat="1"/>
    <row r="200" s="125" customFormat="1"/>
    <row r="201" s="125" customFormat="1"/>
    <row r="202" s="125" customFormat="1"/>
    <row r="203" s="125" customFormat="1"/>
    <row r="204" s="125" customFormat="1"/>
    <row r="205" s="125" customFormat="1"/>
    <row r="206" s="125" customFormat="1"/>
    <row r="207" s="125" customFormat="1"/>
    <row r="208" s="125" customFormat="1"/>
    <row r="209" s="125" customFormat="1"/>
    <row r="210" s="125" customFormat="1"/>
    <row r="211" s="125" customFormat="1"/>
    <row r="212" s="125" customFormat="1"/>
    <row r="213" s="125" customFormat="1"/>
    <row r="214" s="125" customFormat="1"/>
    <row r="215" s="125" customFormat="1"/>
    <row r="216" s="125" customFormat="1"/>
    <row r="217" s="125" customFormat="1"/>
    <row r="218" s="125" customFormat="1"/>
    <row r="219" s="125" customFormat="1"/>
    <row r="220" s="125" customFormat="1"/>
    <row r="221" s="125" customFormat="1"/>
    <row r="222" s="125" customFormat="1"/>
    <row r="223" s="125" customFormat="1"/>
    <row r="224" s="125" customFormat="1"/>
    <row r="225" s="125" customFormat="1"/>
    <row r="226" s="125" customFormat="1"/>
    <row r="227" s="125" customFormat="1"/>
    <row r="228" s="125" customFormat="1"/>
    <row r="229" s="125" customFormat="1"/>
    <row r="230" s="125" customFormat="1"/>
    <row r="231" s="125" customFormat="1"/>
    <row r="232" s="125" customFormat="1"/>
    <row r="233" s="125" customFormat="1"/>
    <row r="234" s="125" customFormat="1"/>
    <row r="235" s="125" customFormat="1"/>
    <row r="236" s="125" customFormat="1"/>
    <row r="237" s="125" customFormat="1"/>
    <row r="238" s="125" customFormat="1"/>
    <row r="239" s="125" customFormat="1"/>
    <row r="240" s="125" customFormat="1"/>
    <row r="241" s="125" customFormat="1"/>
    <row r="242" s="125" customFormat="1"/>
    <row r="243" s="125" customFormat="1"/>
    <row r="244" s="125" customFormat="1"/>
    <row r="245" s="125" customFormat="1"/>
    <row r="246" s="125" customFormat="1"/>
    <row r="247" s="125" customFormat="1"/>
    <row r="248" s="125" customFormat="1"/>
    <row r="249" s="125" customFormat="1"/>
    <row r="250" s="125" customFormat="1"/>
    <row r="251" s="125" customFormat="1"/>
    <row r="252" s="125" customFormat="1"/>
    <row r="253" s="125" customFormat="1"/>
    <row r="254" s="125" customFormat="1"/>
    <row r="255" s="125" customFormat="1"/>
    <row r="256" s="125" customFormat="1"/>
    <row r="257" s="125" customFormat="1"/>
    <row r="258" s="125" customFormat="1"/>
    <row r="259" s="125" customFormat="1"/>
    <row r="260" s="125" customFormat="1"/>
    <row r="261" s="125" customFormat="1"/>
    <row r="262" s="125" customFormat="1"/>
    <row r="263" s="125" customFormat="1"/>
    <row r="264" s="125" customFormat="1"/>
    <row r="265" s="125" customFormat="1"/>
    <row r="266" s="125" customFormat="1"/>
    <row r="267" s="125" customFormat="1"/>
    <row r="268" s="125" customFormat="1"/>
    <row r="269" s="125" customFormat="1"/>
    <row r="270" s="125" customFormat="1"/>
    <row r="271" s="125" customFormat="1"/>
    <row r="272" s="125" customFormat="1"/>
    <row r="273" s="125" customFormat="1"/>
    <row r="274" s="125" customFormat="1"/>
    <row r="275" s="125" customFormat="1"/>
    <row r="276" s="125" customFormat="1"/>
    <row r="277" s="125" customFormat="1"/>
    <row r="278" s="125" customFormat="1"/>
    <row r="279" s="125" customFormat="1"/>
    <row r="280" s="125" customFormat="1"/>
    <row r="281" s="125" customFormat="1"/>
    <row r="282" s="125" customFormat="1"/>
    <row r="283" s="125" customFormat="1"/>
    <row r="284" s="125" customFormat="1"/>
    <row r="285" s="125" customFormat="1"/>
    <row r="286" s="125" customFormat="1"/>
    <row r="287" s="125" customFormat="1"/>
    <row r="288" s="125" customFormat="1"/>
    <row r="289" s="125" customFormat="1"/>
    <row r="290" s="125" customFormat="1"/>
    <row r="291" s="125" customFormat="1"/>
    <row r="292" s="125" customFormat="1"/>
    <row r="293" s="125" customFormat="1"/>
    <row r="294" s="125" customFormat="1"/>
    <row r="295" s="125" customFormat="1"/>
    <row r="296" s="125" customFormat="1"/>
    <row r="297" s="125" customFormat="1"/>
    <row r="298" s="125" customFormat="1"/>
    <row r="299" s="125" customFormat="1"/>
    <row r="300" s="125" customFormat="1"/>
    <row r="301" s="125" customFormat="1"/>
    <row r="302" s="125" customFormat="1"/>
    <row r="303" s="125" customFormat="1"/>
    <row r="304" s="125" customFormat="1"/>
    <row r="305" s="125" customFormat="1"/>
    <row r="306" s="125" customFormat="1"/>
    <row r="307" s="125" customFormat="1"/>
    <row r="308" s="125" customFormat="1"/>
    <row r="309" s="125" customFormat="1"/>
    <row r="310" s="125" customFormat="1"/>
    <row r="311" s="125" customFormat="1"/>
    <row r="312" s="125" customFormat="1"/>
    <row r="313" s="125" customFormat="1"/>
    <row r="314" s="125" customFormat="1"/>
    <row r="315" s="125" customFormat="1"/>
    <row r="316" s="125" customFormat="1"/>
    <row r="317" s="125" customFormat="1"/>
    <row r="318" s="125" customFormat="1"/>
    <row r="319" s="125" customFormat="1"/>
    <row r="320" s="125" customFormat="1"/>
    <row r="321" s="125" customFormat="1"/>
    <row r="322" s="125" customFormat="1"/>
    <row r="323" s="125" customFormat="1"/>
    <row r="324" s="125" customFormat="1"/>
    <row r="325" s="125" customFormat="1"/>
    <row r="326" s="125" customFormat="1"/>
    <row r="327" s="125" customFormat="1"/>
    <row r="328" s="125" customFormat="1"/>
    <row r="329" s="125" customFormat="1"/>
    <row r="330" s="125" customFormat="1"/>
    <row r="331" s="125" customFormat="1"/>
    <row r="332" s="125" customFormat="1"/>
    <row r="333" s="125" customFormat="1"/>
    <row r="334" s="125" customFormat="1"/>
    <row r="335" s="125" customFormat="1"/>
    <row r="336" s="125" customFormat="1"/>
    <row r="337" s="125" customFormat="1"/>
    <row r="338" s="125" customFormat="1"/>
    <row r="339" s="125" customFormat="1"/>
    <row r="340" s="125" customFormat="1"/>
    <row r="341" s="125" customFormat="1"/>
    <row r="342" s="125" customFormat="1"/>
    <row r="343" s="125" customFormat="1"/>
    <row r="344" s="125" customFormat="1"/>
    <row r="345" s="125" customFormat="1"/>
    <row r="346" s="125" customFormat="1"/>
    <row r="347" s="125" customFormat="1"/>
    <row r="348" s="125" customFormat="1"/>
    <row r="349" s="125" customFormat="1"/>
    <row r="350" s="125" customFormat="1"/>
    <row r="351" s="125" customFormat="1"/>
    <row r="352" s="125" customFormat="1"/>
    <row r="353" s="125" customFormat="1"/>
    <row r="354" s="125" customFormat="1"/>
    <row r="355" s="125" customFormat="1"/>
    <row r="356" s="125" customFormat="1"/>
    <row r="357" s="125" customFormat="1"/>
    <row r="358" s="125" customFormat="1"/>
    <row r="359" s="125" customFormat="1"/>
    <row r="360" s="125" customFormat="1"/>
    <row r="361" s="125" customFormat="1"/>
    <row r="362" s="125" customFormat="1"/>
    <row r="363" s="125" customFormat="1"/>
    <row r="364" s="125" customFormat="1"/>
    <row r="365" s="125" customFormat="1"/>
    <row r="366" s="125" customFormat="1"/>
    <row r="367" s="125" customFormat="1"/>
    <row r="368" s="125" customFormat="1"/>
    <row r="369" s="125" customFormat="1"/>
    <row r="370" s="125" customFormat="1"/>
    <row r="371" s="125" customFormat="1"/>
    <row r="372" s="125" customFormat="1"/>
    <row r="373" s="125" customFormat="1"/>
    <row r="374" s="125" customFormat="1"/>
    <row r="375" s="125" customFormat="1"/>
    <row r="376" s="125" customFormat="1"/>
    <row r="377" s="125" customFormat="1"/>
    <row r="378" s="125" customFormat="1"/>
    <row r="379" s="125" customFormat="1"/>
    <row r="380" s="125" customFormat="1"/>
    <row r="381" s="125" customFormat="1"/>
    <row r="382" s="125" customFormat="1"/>
    <row r="383" s="125" customFormat="1"/>
    <row r="384" s="125" customFormat="1"/>
    <row r="385" s="125" customFormat="1"/>
    <row r="386" s="125" customFormat="1"/>
    <row r="387" s="125" customFormat="1"/>
    <row r="388" s="125" customFormat="1"/>
    <row r="389" s="125" customFormat="1"/>
    <row r="390" s="125" customFormat="1"/>
    <row r="391" s="125" customFormat="1"/>
    <row r="392" s="125" customFormat="1"/>
    <row r="393" s="125" customFormat="1"/>
    <row r="394" s="125" customFormat="1"/>
    <row r="395" s="125" customFormat="1"/>
    <row r="396" s="125" customFormat="1"/>
    <row r="397" s="125" customFormat="1"/>
    <row r="398" s="125" customFormat="1"/>
    <row r="399" s="125" customFormat="1"/>
    <row r="400" s="125" customFormat="1"/>
    <row r="401" s="125" customFormat="1"/>
    <row r="402" s="125" customFormat="1"/>
    <row r="403" s="125" customFormat="1"/>
    <row r="404" s="125" customFormat="1"/>
    <row r="405" s="125" customFormat="1"/>
    <row r="406" s="125" customFormat="1"/>
    <row r="407" s="125" customFormat="1"/>
    <row r="408" s="125" customFormat="1"/>
    <row r="409" s="125" customFormat="1"/>
    <row r="410" s="125" customFormat="1"/>
    <row r="411" s="125" customFormat="1"/>
    <row r="412" s="125" customFormat="1"/>
  </sheetData>
  <sheetProtection algorithmName="SHA-512" hashValue="viedBBMNtEi3d1sCvZZ1PNWTrJJGud2GnFt+QZcfKqsL98cYb/kmJCPAdJeLjPr1nfMxKH6xZDpyBvXfJGWbrQ==" saltValue="wCgny0FWq7E98/WDjs9ZXQ==" spinCount="100000" sheet="1" objects="1" scenarios="1" formatCells="0" formatColumns="0" formatRows="0" insertRows="0" insertHyperlinks="0" sort="0" autoFilter="0" pivotTables="0"/>
  <mergeCells count="26">
    <mergeCell ref="I1:R1"/>
    <mergeCell ref="A1:H1"/>
    <mergeCell ref="A38:H38"/>
    <mergeCell ref="A24:H24"/>
    <mergeCell ref="I24:R24"/>
    <mergeCell ref="B2:B3"/>
    <mergeCell ref="C2:H2"/>
    <mergeCell ref="I2:R2"/>
    <mergeCell ref="A51:H51"/>
    <mergeCell ref="A73:H73"/>
    <mergeCell ref="I51:R51"/>
    <mergeCell ref="I73:R73"/>
    <mergeCell ref="A25:H25"/>
    <mergeCell ref="I25:R25"/>
    <mergeCell ref="I38:R38"/>
    <mergeCell ref="A86:H86"/>
    <mergeCell ref="I86:R86"/>
    <mergeCell ref="A64:B64"/>
    <mergeCell ref="C64:H64"/>
    <mergeCell ref="I64:R64"/>
    <mergeCell ref="V38:V39"/>
    <mergeCell ref="V51:V52"/>
    <mergeCell ref="V73:V74"/>
    <mergeCell ref="V86:V87"/>
    <mergeCell ref="T24:U25"/>
    <mergeCell ref="V24:V25"/>
  </mergeCells>
  <phoneticPr fontId="25" type="noConversion"/>
  <conditionalFormatting sqref="V1:V1048576">
    <cfRule type="cellIs" dxfId="133" priority="1" operator="greaterThan">
      <formula>0</formula>
    </cfRule>
    <cfRule type="cellIs" dxfId="132" priority="2" operator="lessThan">
      <formula>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Valeur invalide" error="Veuillez choisir une variable dans la liste." xr:uid="{BE3D3F14-42C3-4F44-A2F2-4E69D5FA1B87}">
          <x14:formula1>
            <xm:f>Listes!$F$2:$F$46</xm:f>
          </x14:formula1>
          <xm:sqref>A4:A18 A20:A22</xm:sqref>
        </x14:dataValidation>
        <x14:dataValidation type="list" allowBlank="1" showInputMessage="1" showErrorMessage="1" errorTitle="Valeur invalide" error="Veuillez choisir une variable dans la liste." xr:uid="{481B585D-1AE2-429A-91B6-A8262E4540F7}">
          <x14:formula1>
            <xm:f>Listes!$F$2:$F$50</xm:f>
          </x14:formula1>
          <xm:sqref>A19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EA6E7-5877-495C-A2F3-CDD9F657ED0D}">
  <dimension ref="A1:G16"/>
  <sheetViews>
    <sheetView workbookViewId="0">
      <selection activeCell="C4" sqref="C4"/>
    </sheetView>
  </sheetViews>
  <sheetFormatPr baseColWidth="10" defaultRowHeight="14.4"/>
  <cols>
    <col min="1" max="1" width="9.21875" style="47" customWidth="1"/>
    <col min="2" max="2" width="33.33203125" style="47" customWidth="1"/>
    <col min="3" max="3" width="20.33203125" style="47" customWidth="1"/>
    <col min="4" max="5" width="16.6640625" style="47" customWidth="1"/>
    <col min="6" max="6" width="20.33203125" style="47" customWidth="1"/>
    <col min="7" max="7" width="25.88671875" style="47" customWidth="1"/>
    <col min="8" max="16384" width="11.5546875" style="47"/>
  </cols>
  <sheetData>
    <row r="1" spans="1:7" ht="18">
      <c r="A1" s="147" t="str">
        <f>"ANALYSE PARETO (année "&amp;'1. DONNEES DE BASE'!B1&amp;" — Produits par Chiffre d'Affaires (décroissant))"</f>
        <v>ANALYSE PARETO (année 2026 — Produits par Chiffre d'Affaires (décroissant))</v>
      </c>
    </row>
    <row r="3" spans="1:7">
      <c r="A3" s="655" t="s">
        <v>405</v>
      </c>
      <c r="B3" s="656" t="s">
        <v>348</v>
      </c>
      <c r="C3" s="655" t="s">
        <v>406</v>
      </c>
      <c r="D3" s="655" t="s">
        <v>407</v>
      </c>
      <c r="E3" s="655" t="s">
        <v>408</v>
      </c>
      <c r="F3" s="655" t="s">
        <v>416</v>
      </c>
      <c r="G3" s="655" t="s">
        <v>417</v>
      </c>
    </row>
    <row r="4" spans="1:7">
      <c r="A4" s="47" cm="1">
        <f t="array" aca="1" ref="A4:A9" ca="1">IFERROR(_xlfn.SEQUENCE(ROWS(_xlfn.ANCHORARRAY(B4))),"")</f>
        <v>1</v>
      </c>
      <c r="B4" s="47" t="str" cm="1">
        <f t="array" aca="1" ref="B4:B9" ca="1">IFERROR(INDEX(_xlfn._xlws.SORT(_xlfn._xlws.FILTER(CHOOSE({1,2},TRANSPOSE('5. RESUME GAMME - CACV'!C4:R4),TRANSPOSE('5. RESUME GAMME - CACV'!C60:R60)),(TRANSPOSE('5. RESUME GAMME - CACV'!C60:R60)&gt;0)*(TRANSPOSE('5. RESUME GAMME - CACV'!C4:R4)&lt;&gt;"")),2,-1),,1),"")</f>
        <v>Marmelade agrumes</v>
      </c>
      <c r="C4" s="148" cm="1">
        <f t="array" aca="1" ref="C4:C9" ca="1">IFERROR(INDEX(_xlfn._xlws.SORT(_xlfn._xlws.FILTER(CHOOSE({1,2},TRANSPOSE('5. RESUME GAMME - CACV'!C4:R4),TRANSPOSE('5. RESUME GAMME - CACV'!C60:R60)),(TRANSPOSE('5. RESUME GAMME - CACV'!C60:R60)&gt;0)*(TRANSPOSE('5. RESUME GAMME - CACV'!C4:R4)&lt;&gt;"")),2,-1),,2),"")</f>
        <v>93599.226415094337</v>
      </c>
      <c r="D4" s="149" cm="1">
        <f t="array" aca="1" ref="D4:D9" ca="1">IFERROR(_xlfn.ANCHORARRAY(C4)/SUM(_xlfn.ANCHORARRAY(C4)),"")</f>
        <v>0.68054561530225122</v>
      </c>
      <c r="E4" s="149" cm="1">
        <f t="array" aca="1" ref="E4:E9" ca="1">IFERROR(_xlfn.SCAN(0,_xlfn.ANCHORARRAY(D4),_xlfn.LAMBDA(_xlpm.a,_xlpm.b,_xlpm.a+_xlpm.b)),"")</f>
        <v>0.68054561530225122</v>
      </c>
      <c r="F4" s="150" cm="1">
        <f t="array" aca="1" ref="F4:F9" ca="1">IFERROR(IF(_xlfn.ANCHORARRAY(B4)="","",_xlfn.XLOOKUP(_xlfn.ANCHORARRAY(B4),'5. RESUME GAMME - CACV'!$C$4:$R$4,'5. RESUME GAMME - CACV'!$C$66:$R$66)),"")</f>
        <v>0.7489054246358493</v>
      </c>
      <c r="G4" s="151" cm="1">
        <f t="array" aca="1" ref="G4:G9" ca="1">IFERROR(IF(_xlfn.ANCHORARRAY(B4)="","",_xlfn.XLOOKUP(_xlfn.ANCHORARRAY(B4),'5. RESUME GAMME - CACV'!$C$4:$R$4,'5. RESUME GAMME - CACV'!$C$71:$R$71)),"")</f>
        <v>16428.976969683572</v>
      </c>
    </row>
    <row r="5" spans="1:7">
      <c r="A5" s="47">
        <f ca="1"/>
        <v>2</v>
      </c>
      <c r="B5" s="47" t="str">
        <f ca="1"/>
        <v>Chutney carottes</v>
      </c>
      <c r="C5" s="152">
        <f ca="1"/>
        <v>14212.433962264151</v>
      </c>
      <c r="D5" s="153">
        <f ca="1"/>
        <v>0.1033364268727746</v>
      </c>
      <c r="E5" s="153">
        <f ca="1"/>
        <v>0.78388204217502577</v>
      </c>
      <c r="F5" s="150">
        <f ca="1"/>
        <v>0.74844868478910387</v>
      </c>
      <c r="G5" s="154">
        <f ca="1"/>
        <v>906.58615113993733</v>
      </c>
    </row>
    <row r="6" spans="1:7">
      <c r="A6" s="47">
        <f ca="1"/>
        <v>3</v>
      </c>
      <c r="B6" s="47" t="str">
        <f ca="1"/>
        <v>Bolognaise</v>
      </c>
      <c r="C6" s="152">
        <f ca="1"/>
        <v>11369.622641509435</v>
      </c>
      <c r="D6" s="153">
        <f ca="1"/>
        <v>8.2666781902725694E-2</v>
      </c>
      <c r="E6" s="153">
        <f ca="1"/>
        <v>0.86654882407775147</v>
      </c>
      <c r="F6" s="150">
        <f ca="1"/>
        <v>0.74225564000582678</v>
      </c>
      <c r="G6" s="47">
        <f ca="1"/>
        <v>49.759236617914652</v>
      </c>
    </row>
    <row r="7" spans="1:7">
      <c r="A7" s="47">
        <f ca="1"/>
        <v>4</v>
      </c>
      <c r="B7" s="47" t="str">
        <f ca="1"/>
        <v>Coulis de tomate</v>
      </c>
      <c r="C7" s="152">
        <f ca="1"/>
        <v>9542.6226415094352</v>
      </c>
      <c r="D7" s="153">
        <f ca="1"/>
        <v>6.9382945200452448E-2</v>
      </c>
      <c r="E7" s="153">
        <f ca="1"/>
        <v>0.93593176927820387</v>
      </c>
      <c r="F7" s="150">
        <f ca="1"/>
        <v>0.74818515817041531</v>
      </c>
      <c r="G7" s="47">
        <f ca="1"/>
        <v>171.6261689999597</v>
      </c>
    </row>
    <row r="8" spans="1:7">
      <c r="A8" s="47">
        <f ca="1"/>
        <v>5</v>
      </c>
      <c r="B8" s="47" t="str">
        <f ca="1"/>
        <v>Pickels légumes</v>
      </c>
      <c r="C8" s="152">
        <f ca="1"/>
        <v>4872.8113207547176</v>
      </c>
      <c r="D8" s="153">
        <f ca="1"/>
        <v>3.5429463528130291E-2</v>
      </c>
      <c r="E8" s="153">
        <f ca="1"/>
        <v>0.97136123280633413</v>
      </c>
      <c r="F8" s="150">
        <f ca="1"/>
        <v>0.74741653520948614</v>
      </c>
      <c r="G8" s="47">
        <f ca="1"/>
        <v>179.70492207671305</v>
      </c>
    </row>
    <row r="9" spans="1:7">
      <c r="A9" s="47">
        <f ca="1"/>
        <v>6</v>
      </c>
      <c r="B9" s="47" t="str">
        <f ca="1"/>
        <v>Potage legume feuille</v>
      </c>
      <c r="C9" s="152">
        <f ca="1"/>
        <v>3938.8490566037735</v>
      </c>
      <c r="D9" s="153">
        <f ca="1"/>
        <v>2.863876719366586E-2</v>
      </c>
      <c r="E9" s="153">
        <f ca="1"/>
        <v>1</v>
      </c>
      <c r="F9" s="150">
        <f ca="1"/>
        <v>0.74704410769249607</v>
      </c>
      <c r="G9" s="47">
        <f ca="1"/>
        <v>34.918836774042674</v>
      </c>
    </row>
    <row r="10" spans="1:7">
      <c r="A10" s="47" t="str" cm="1">
        <f t="array" ref="A10">IFERROR(_xlfn.SEQUENCE(ROWS(_xlfn.ANCHORARRAY(B10))),"")</f>
        <v/>
      </c>
    </row>
    <row r="16" spans="1:7">
      <c r="A16" s="47" t="str" cm="1">
        <f t="array" ref="A16">IFERROR(_xlfn.SEQUENCE(ROWS(_xlfn.ANCHORARRAY(B16))),"")</f>
        <v/>
      </c>
    </row>
  </sheetData>
  <sheetProtection algorithmName="SHA-512" hashValue="ag64J/revb8o8z1yFDo4D/OnXAVFmBO9XEYF6Iby6F+0ki48QlpjHkHj7cNhWD+ZN34rd1CPDKjBRXJ+YYh0bw==" saltValue="cHqRi46IBPDEIowCimtACw==" spinCount="100000" sheet="1" objects="1" scenarios="1" formatCells="0" formatColumns="0" formatRows="0" insertRows="0" insertHyperlinks="0" sort="0" autoFilter="0" pivotTables="0"/>
  <conditionalFormatting sqref="A4:E100">
    <cfRule type="expression" dxfId="131" priority="1">
      <formula>AND($E4&lt;&gt;"",$E4&lt;=0.8)</formula>
    </cfRule>
  </conditionalFormatting>
  <conditionalFormatting sqref="C4:C100">
    <cfRule type="dataBar" priority="2">
      <dataBar>
        <cfvo type="min"/>
        <cfvo type="max"/>
        <color rgb="FFA9D08E"/>
      </dataBar>
      <extLst>
        <ext xmlns:x14="http://schemas.microsoft.com/office/spreadsheetml/2009/9/main" uri="{B025F937-C7B1-47D3-B67F-A62EFF666E3E}">
          <x14:id>{CE70BD00-3726-46F7-A47E-ECF39E99E4EA}</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CE70BD00-3726-46F7-A47E-ECF39E99E4EA}">
            <x14:dataBar minLength="0" maxLength="100" direction="leftToRight" negativeBarColorSameAsPositive="1" axisPosition="none">
              <x14:cfvo type="min"/>
              <x14:cfvo type="max"/>
            </x14:dataBar>
          </x14:cfRule>
          <xm:sqref>C4:C100</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D780D-413C-4D05-A762-40FEEE4AA29B}">
  <dimension ref="A1:C17"/>
  <sheetViews>
    <sheetView workbookViewId="0">
      <selection activeCell="C30" sqref="C30"/>
    </sheetView>
  </sheetViews>
  <sheetFormatPr baseColWidth="10" defaultRowHeight="14.4"/>
  <cols>
    <col min="1" max="1" width="27.77734375" style="343" customWidth="1"/>
    <col min="2" max="2" width="20.33203125" style="343" customWidth="1"/>
    <col min="3" max="3" width="16.6640625" style="343" customWidth="1"/>
    <col min="4" max="16384" width="11.5546875" style="343"/>
  </cols>
  <sheetData>
    <row r="1" spans="1:3">
      <c r="A1" s="657" t="s">
        <v>348</v>
      </c>
      <c r="B1" s="657" t="s">
        <v>406</v>
      </c>
      <c r="C1" s="657" t="s">
        <v>408</v>
      </c>
    </row>
    <row r="2" spans="1:3">
      <c r="A2" s="343" t="str">
        <f ca="1">IFERROR(IF('6. Analyse Pareto'!B4="","",'6. Analyse Pareto'!B4),"")</f>
        <v>Marmelade agrumes</v>
      </c>
      <c r="B2" s="342">
        <f ca="1">IFERROR(IF('6. Analyse Pareto'!B4="",NA(),'6. Analyse Pareto'!C4),NA())</f>
        <v>93599.226415094337</v>
      </c>
      <c r="C2" s="341">
        <f ca="1">IFERROR(IF('6. Analyse Pareto'!B4="",NA(),'6. Analyse Pareto'!E4),NA())</f>
        <v>0.68054561530225122</v>
      </c>
    </row>
    <row r="3" spans="1:3">
      <c r="A3" s="343" t="str">
        <f ca="1">IFERROR(IF('6. Analyse Pareto'!B5="","",'6. Analyse Pareto'!B5),"")</f>
        <v>Chutney carottes</v>
      </c>
      <c r="B3" s="342">
        <f ca="1">IFERROR(IF('6. Analyse Pareto'!B5="",NA(),'6. Analyse Pareto'!C5),NA())</f>
        <v>14212.433962264151</v>
      </c>
      <c r="C3" s="341">
        <f ca="1">IFERROR(IF('6. Analyse Pareto'!B5="",NA(),'6. Analyse Pareto'!E5),NA())</f>
        <v>0.78388204217502577</v>
      </c>
    </row>
    <row r="4" spans="1:3">
      <c r="A4" s="343" t="str">
        <f ca="1">IFERROR(IF('6. Analyse Pareto'!B6="","",'6. Analyse Pareto'!B6),"")</f>
        <v>Bolognaise</v>
      </c>
      <c r="B4" s="342">
        <f ca="1">IFERROR(IF('6. Analyse Pareto'!B6="",NA(),'6. Analyse Pareto'!C6),NA())</f>
        <v>11369.622641509435</v>
      </c>
      <c r="C4" s="341">
        <f ca="1">IFERROR(IF('6. Analyse Pareto'!B6="",NA(),'6. Analyse Pareto'!E6),NA())</f>
        <v>0.86654882407775147</v>
      </c>
    </row>
    <row r="5" spans="1:3">
      <c r="A5" s="343" t="str">
        <f ca="1">IFERROR(IF('6. Analyse Pareto'!B7="","",'6. Analyse Pareto'!B7),"")</f>
        <v>Coulis de tomate</v>
      </c>
      <c r="B5" s="342">
        <f ca="1">IFERROR(IF('6. Analyse Pareto'!B7="",NA(),'6. Analyse Pareto'!C7),NA())</f>
        <v>9542.6226415094352</v>
      </c>
      <c r="C5" s="341">
        <f ca="1">IFERROR(IF('6. Analyse Pareto'!B7="",NA(),'6. Analyse Pareto'!E7),NA())</f>
        <v>0.93593176927820387</v>
      </c>
    </row>
    <row r="6" spans="1:3">
      <c r="A6" s="343" t="str">
        <f ca="1">IFERROR(IF('6. Analyse Pareto'!B8="","",'6. Analyse Pareto'!B8),"")</f>
        <v>Pickels légumes</v>
      </c>
      <c r="B6" s="342">
        <f ca="1">IFERROR(IF('6. Analyse Pareto'!B8="",NA(),'6. Analyse Pareto'!C8),NA())</f>
        <v>4872.8113207547176</v>
      </c>
      <c r="C6" s="341">
        <f ca="1">IFERROR(IF('6. Analyse Pareto'!B8="",NA(),'6. Analyse Pareto'!E8),NA())</f>
        <v>0.97136123280633413</v>
      </c>
    </row>
    <row r="7" spans="1:3">
      <c r="A7" s="343" t="str">
        <f ca="1">IFERROR(IF('6. Analyse Pareto'!B9="","",'6. Analyse Pareto'!B9),"")</f>
        <v>Potage legume feuille</v>
      </c>
      <c r="B7" s="342">
        <f ca="1">IFERROR(IF('6. Analyse Pareto'!B9="",NA(),'6. Analyse Pareto'!C9),NA())</f>
        <v>3938.8490566037735</v>
      </c>
      <c r="C7" s="341">
        <f ca="1">IFERROR(IF('6. Analyse Pareto'!B9="",NA(),'6. Analyse Pareto'!E9),NA())</f>
        <v>1</v>
      </c>
    </row>
    <row r="8" spans="1:3">
      <c r="A8" s="343" t="str">
        <f>IFERROR(IF('6. Analyse Pareto'!B10="","",'6. Analyse Pareto'!B10),"")</f>
        <v/>
      </c>
      <c r="B8" s="342" t="e">
        <f>IFERROR(IF('6. Analyse Pareto'!B10="",NA(),'6. Analyse Pareto'!C10),NA())</f>
        <v>#N/A</v>
      </c>
      <c r="C8" s="341" t="e">
        <f>IFERROR(IF('6. Analyse Pareto'!B10="",NA(),'6. Analyse Pareto'!E10),NA())</f>
        <v>#N/A</v>
      </c>
    </row>
    <row r="9" spans="1:3">
      <c r="A9" s="343" t="str">
        <f>IFERROR(IF('6. Analyse Pareto'!B11="","",'6. Analyse Pareto'!B11),"")</f>
        <v/>
      </c>
      <c r="B9" s="342" t="e">
        <f>IFERROR(IF('6. Analyse Pareto'!B11="",NA(),'6. Analyse Pareto'!C11),NA())</f>
        <v>#N/A</v>
      </c>
      <c r="C9" s="341" t="e">
        <f>IFERROR(IF('6. Analyse Pareto'!B11="",NA(),'6. Analyse Pareto'!E11),NA())</f>
        <v>#N/A</v>
      </c>
    </row>
    <row r="10" spans="1:3">
      <c r="A10" s="343" t="str">
        <f>IFERROR(IF('6. Analyse Pareto'!B12="","",'6. Analyse Pareto'!B12),"")</f>
        <v/>
      </c>
      <c r="B10" s="342" t="e">
        <f>IFERROR(IF('6. Analyse Pareto'!B12="",NA(),'6. Analyse Pareto'!C12),NA())</f>
        <v>#N/A</v>
      </c>
      <c r="C10" s="341" t="e">
        <f>IFERROR(IF('6. Analyse Pareto'!B12="",NA(),'6. Analyse Pareto'!E12),NA())</f>
        <v>#N/A</v>
      </c>
    </row>
    <row r="11" spans="1:3">
      <c r="A11" s="343" t="str">
        <f>IFERROR(IF('6. Analyse Pareto'!B13="","",'6. Analyse Pareto'!B13),"")</f>
        <v/>
      </c>
      <c r="B11" s="342" t="e">
        <f>IFERROR(IF('6. Analyse Pareto'!B13="",NA(),'6. Analyse Pareto'!C13),NA())</f>
        <v>#N/A</v>
      </c>
      <c r="C11" s="341" t="e">
        <f>IFERROR(IF('6. Analyse Pareto'!B13="",NA(),'6. Analyse Pareto'!E13),NA())</f>
        <v>#N/A</v>
      </c>
    </row>
    <row r="12" spans="1:3">
      <c r="A12" s="343" t="str">
        <f>IFERROR(IF('6. Analyse Pareto'!B14="","",'6. Analyse Pareto'!B14),"")</f>
        <v/>
      </c>
      <c r="B12" s="342" t="e">
        <f>IFERROR(IF('6. Analyse Pareto'!B14="",NA(),'6. Analyse Pareto'!C14),NA())</f>
        <v>#N/A</v>
      </c>
      <c r="C12" s="341" t="e">
        <f>IFERROR(IF('6. Analyse Pareto'!B14="",NA(),'6. Analyse Pareto'!E14),NA())</f>
        <v>#N/A</v>
      </c>
    </row>
    <row r="13" spans="1:3">
      <c r="A13" s="343" t="str">
        <f>IFERROR(IF('6. Analyse Pareto'!B15="","",'6. Analyse Pareto'!B15),"")</f>
        <v/>
      </c>
      <c r="B13" s="342" t="e">
        <f>IFERROR(IF('6. Analyse Pareto'!B15="",NA(),'6. Analyse Pareto'!C15),NA())</f>
        <v>#N/A</v>
      </c>
      <c r="C13" s="341" t="e">
        <f>IFERROR(IF('6. Analyse Pareto'!B15="",NA(),'6. Analyse Pareto'!E15),NA())</f>
        <v>#N/A</v>
      </c>
    </row>
    <row r="14" spans="1:3">
      <c r="A14" s="343" t="str">
        <f>IFERROR(IF('6. Analyse Pareto'!B16="","",'6. Analyse Pareto'!B16),"")</f>
        <v/>
      </c>
      <c r="B14" s="342" t="e">
        <f>IFERROR(IF('6. Analyse Pareto'!B16="",NA(),'6. Analyse Pareto'!C16),NA())</f>
        <v>#N/A</v>
      </c>
      <c r="C14" s="341" t="e">
        <f>IFERROR(IF('6. Analyse Pareto'!B16="",NA(),'6. Analyse Pareto'!E16),NA())</f>
        <v>#N/A</v>
      </c>
    </row>
    <row r="15" spans="1:3">
      <c r="A15" s="343" t="str">
        <f>IFERROR(IF('6. Analyse Pareto'!B17="","",'6. Analyse Pareto'!B17),"")</f>
        <v/>
      </c>
      <c r="B15" s="342" t="e">
        <f>IFERROR(IF('6. Analyse Pareto'!B17="",NA(),'6. Analyse Pareto'!C17),NA())</f>
        <v>#N/A</v>
      </c>
      <c r="C15" s="341" t="e">
        <f>IFERROR(IF('6. Analyse Pareto'!B17="",NA(),'6. Analyse Pareto'!E17),NA())</f>
        <v>#N/A</v>
      </c>
    </row>
    <row r="16" spans="1:3">
      <c r="A16" s="343" t="str">
        <f>IFERROR(IF('6. Analyse Pareto'!B18="","",'6. Analyse Pareto'!B18),"")</f>
        <v/>
      </c>
      <c r="B16" s="342" t="e">
        <f>IFERROR(IF('6. Analyse Pareto'!B18="",NA(),'6. Analyse Pareto'!C18),NA())</f>
        <v>#N/A</v>
      </c>
      <c r="C16" s="341" t="e">
        <f>IFERROR(IF('6. Analyse Pareto'!B18="",NA(),'6. Analyse Pareto'!E18),NA())</f>
        <v>#N/A</v>
      </c>
    </row>
    <row r="17" spans="1:3">
      <c r="A17" s="343" t="str">
        <f>IFERROR(IF('6. Analyse Pareto'!B19="","",'6. Analyse Pareto'!B19),"")</f>
        <v/>
      </c>
      <c r="B17" s="342" t="e">
        <f>IFERROR(IF('6. Analyse Pareto'!B19="",NA(),'6. Analyse Pareto'!C19),NA())</f>
        <v>#N/A</v>
      </c>
      <c r="C17" s="341" t="e">
        <f>IFERROR(IF('6. Analyse Pareto'!B19="",NA(),'6. Analyse Pareto'!E19),NA())</f>
        <v>#N/A</v>
      </c>
    </row>
  </sheetData>
  <sheetProtection algorithmName="SHA-512" hashValue="weOx5n6QQ8YtZHFhqur02kTP/9md9m1GectEx2TCcRVpmHyTPkDJI/P51c3ykbw0azd7FuBFkvSItfArhT1xiQ==" saltValue="3KRMu3oqlYFLW0HeNGpwvQ==" spinCount="100000" sheet="1" objects="1" scenarios="1" formatCells="0" formatColumns="0" formatRows="0" insertRows="0" insertHyperlinks="0" sort="0" autoFilter="0" pivotTables="0"/>
  <conditionalFormatting sqref="A2:C17">
    <cfRule type="containsText" dxfId="130" priority="1" operator="containsText" text="#N/A">
      <formula>NOT(ISERROR(SEARCH("#N/A",A2)))</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26</vt:i4>
      </vt:variant>
      <vt:variant>
        <vt:lpstr>Plages nommées</vt:lpstr>
      </vt:variant>
      <vt:variant>
        <vt:i4>28</vt:i4>
      </vt:variant>
    </vt:vector>
  </HeadingPairs>
  <TitlesOfParts>
    <vt:vector size="54" baseType="lpstr">
      <vt:lpstr>0. MODE D'EMPLOI</vt:lpstr>
      <vt:lpstr>1. DONNEES DE BASE</vt:lpstr>
      <vt:lpstr>2. INVEST &amp; AMORT</vt:lpstr>
      <vt:lpstr>3. TCD - Synthèse INVEST</vt:lpstr>
      <vt:lpstr>Simulateur redevance BIO</vt:lpstr>
      <vt:lpstr>4. CHARGES FIXES</vt:lpstr>
      <vt:lpstr>5. RESUME GAMME - CACV</vt:lpstr>
      <vt:lpstr>6. Analyse Pareto</vt:lpstr>
      <vt:lpstr>7. Pareto - Graphique CA</vt:lpstr>
      <vt:lpstr>8. Matrice MENU ENGINEERING</vt:lpstr>
      <vt:lpstr>9. Capacité prod mensuelle</vt:lpstr>
      <vt:lpstr>10. BESOIN RH mensuel</vt:lpstr>
      <vt:lpstr>11. Résultats</vt:lpstr>
      <vt:lpstr>12. LISTE INGREDIENTS</vt:lpstr>
      <vt:lpstr>13. LISTE CONSOMMABLES</vt:lpstr>
      <vt:lpstr>14. CALCUL IMPOT</vt:lpstr>
      <vt:lpstr>15. REVENU NET HORAIRE</vt:lpstr>
      <vt:lpstr>FT_PROD (1)</vt:lpstr>
      <vt:lpstr>FT_PROD (2)</vt:lpstr>
      <vt:lpstr>FT_PROD (3)</vt:lpstr>
      <vt:lpstr>FT_PROD (4)</vt:lpstr>
      <vt:lpstr>FT_PROD (5)</vt:lpstr>
      <vt:lpstr>FT_PROD (6)</vt:lpstr>
      <vt:lpstr>FT_PROD (7)</vt:lpstr>
      <vt:lpstr>FT_PROD (8)</vt:lpstr>
      <vt:lpstr>Listes</vt:lpstr>
      <vt:lpstr>'FT_PROD (2)'!ListeConsommables</vt:lpstr>
      <vt:lpstr>'FT_PROD (3)'!ListeConsommables</vt:lpstr>
      <vt:lpstr>'FT_PROD (4)'!ListeConsommables</vt:lpstr>
      <vt:lpstr>'FT_PROD (5)'!ListeConsommables</vt:lpstr>
      <vt:lpstr>'FT_PROD (6)'!ListeConsommables</vt:lpstr>
      <vt:lpstr>'FT_PROD (7)'!ListeConsommables</vt:lpstr>
      <vt:lpstr>'FT_PROD (8)'!ListeConsommables</vt:lpstr>
      <vt:lpstr>ListeConsommables</vt:lpstr>
      <vt:lpstr>'13. LISTE CONSOMMABLES'!ListeIngredients</vt:lpstr>
      <vt:lpstr>'FT_PROD (2)'!ListeIngredients</vt:lpstr>
      <vt:lpstr>'FT_PROD (3)'!ListeIngredients</vt:lpstr>
      <vt:lpstr>'FT_PROD (4)'!ListeIngredients</vt:lpstr>
      <vt:lpstr>'FT_PROD (5)'!ListeIngredients</vt:lpstr>
      <vt:lpstr>'FT_PROD (6)'!ListeIngredients</vt:lpstr>
      <vt:lpstr>'FT_PROD (7)'!ListeIngredients</vt:lpstr>
      <vt:lpstr>'FT_PROD (8)'!ListeIngredients</vt:lpstr>
      <vt:lpstr>ListeIngredients</vt:lpstr>
      <vt:lpstr>'11. Résultats'!Zone_d_impression</vt:lpstr>
      <vt:lpstr>'2. INVEST &amp; AMORT'!Zone_d_impression</vt:lpstr>
      <vt:lpstr>'4. CHARGES FIXES'!Zone_d_impression</vt:lpstr>
      <vt:lpstr>'FT_PROD (1)'!Zone_d_impression</vt:lpstr>
      <vt:lpstr>'FT_PROD (2)'!Zone_d_impression</vt:lpstr>
      <vt:lpstr>'FT_PROD (3)'!Zone_d_impression</vt:lpstr>
      <vt:lpstr>'FT_PROD (4)'!Zone_d_impression</vt:lpstr>
      <vt:lpstr>'FT_PROD (5)'!Zone_d_impression</vt:lpstr>
      <vt:lpstr>'FT_PROD (6)'!Zone_d_impression</vt:lpstr>
      <vt:lpstr>'FT_PROD (7)'!Zone_d_impression</vt:lpstr>
      <vt:lpstr>'FT_PROD (8)'!Zone_d_impression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Thiago Nyssens</dc:creator>
  <cp:lastModifiedBy>Thiago Nyssens</cp:lastModifiedBy>
  <dcterms:created xsi:type="dcterms:W3CDTF">2025-10-15T13:45:23Z</dcterms:created>
  <dcterms:modified xsi:type="dcterms:W3CDTF">2026-08-04T09:20:59Z</dcterms:modified>
</cp:coreProperties>
</file>