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seduculiegebe-my.sharepoint.com/personal/francois_michels_uliege_be/Documents/AP Relocaliser - F&amp;L (New)/Parcours de diagnostic économique/"/>
    </mc:Choice>
  </mc:AlternateContent>
  <xr:revisionPtr revIDLastSave="32" documentId="8_{D58A0926-35D5-4C18-B243-708ADAD273CE}" xr6:coauthVersionLast="47" xr6:coauthVersionMax="47" xr10:uidLastSave="{AC3B0FC7-7747-41BB-8AF7-628D5019E5AB}"/>
  <bookViews>
    <workbookView xWindow="-100" yWindow="0" windowWidth="12221" windowHeight="12897" tabRatio="826" xr2:uid="{FBA2C1ED-64EA-4ABE-9F3A-F606E52DA2B7}"/>
  </bookViews>
  <sheets>
    <sheet name="0. MODE D'EMPLOI" sheetId="1" r:id="rId1"/>
    <sheet name="1. DONNEES DE BASE" sheetId="13" r:id="rId2"/>
    <sheet name="2. INVEST &amp; AMORT" sheetId="12" r:id="rId3"/>
    <sheet name="3. TCD - Synthèse INVEST" sheetId="15" r:id="rId4"/>
    <sheet name="Simulateur redevance BIO" sheetId="49" r:id="rId5"/>
    <sheet name="4. CHARGES FIXES" sheetId="16" r:id="rId6"/>
    <sheet name="5. RESUME GAMME - CACV" sheetId="4" r:id="rId7"/>
    <sheet name="6. Analyse Pareto" sheetId="39" r:id="rId8"/>
    <sheet name="7. Pareto - Graphique CA" sheetId="48" r:id="rId9"/>
    <sheet name="8. Matrice MENU ENGINEERING" sheetId="32" r:id="rId10"/>
    <sheet name="9. Capacité prod mensuelle" sheetId="6" r:id="rId11"/>
    <sheet name="10. BESOIN RH mensuel" sheetId="21" r:id="rId12"/>
    <sheet name="11. Résultats" sheetId="18" r:id="rId13"/>
    <sheet name="12. LISTE INGREDIENTS" sheetId="29" r:id="rId14"/>
    <sheet name="13. LISTE CONSOMMABLES" sheetId="33" r:id="rId15"/>
    <sheet name="14. CALCUL IMPOT" sheetId="27" r:id="rId16"/>
    <sheet name="FT_PROD (1)" sheetId="5" r:id="rId17"/>
    <sheet name="FT_PROD (2)" sheetId="41" r:id="rId18"/>
    <sheet name="FT_PROD (3)" sheetId="42" r:id="rId19"/>
    <sheet name="FT_PROD (4)" sheetId="43" r:id="rId20"/>
    <sheet name="FT_PROD (5)" sheetId="44" r:id="rId21"/>
    <sheet name="FT_PROD (6)" sheetId="45" r:id="rId22"/>
    <sheet name="FT_PROD (7)" sheetId="46" r:id="rId23"/>
    <sheet name="FT_PROD (8)" sheetId="47" r:id="rId24"/>
    <sheet name="Listes" sheetId="17" r:id="rId25"/>
  </sheets>
  <definedNames>
    <definedName name="Beg_Bal">#N/A</definedName>
    <definedName name="Data">#N/A</definedName>
    <definedName name="Dates">#REF!</definedName>
    <definedName name="Différé">#REF!</definedName>
    <definedName name="Durée_franchise">#REF!</definedName>
    <definedName name="End_Bal">#N/A</definedName>
    <definedName name="epaisseur_tranche_1">#REF!</definedName>
    <definedName name="epaisseur_tranche_1_an2">#REF!</definedName>
    <definedName name="epaisseur_tranche_1_an3">#REF!</definedName>
    <definedName name="epaisseur_tranche_2">#REF!</definedName>
    <definedName name="epaisseur_tranche_2_an2">#REF!</definedName>
    <definedName name="epaisseur_tranche_2_an3">#REF!</definedName>
    <definedName name="epaisseur_tranche_3">#REF!</definedName>
    <definedName name="epaisseur_tranche_4">#REF!</definedName>
    <definedName name="epaisseur_tranche_5">#REF!</definedName>
    <definedName name="Extra_Pay">#N/A</definedName>
    <definedName name="frais_variables">DATE(YEAR(#REF!),MONTH(#REF!)+Payment_Number,DAY(#REF!))</definedName>
    <definedName name="Full_Print">#N/A</definedName>
    <definedName name="Garantie">#REF!</definedName>
    <definedName name="Header_Row">#N/A</definedName>
    <definedName name="Impot_tr_1">#REF!</definedName>
    <definedName name="Impot_tr_2">#REF!</definedName>
    <definedName name="Impot_tr_2_an_2">#REF!</definedName>
    <definedName name="Impot_tr_3">#REF!</definedName>
    <definedName name="Impot_tr_4">#REF!</definedName>
    <definedName name="Impot_tr_5">#REF!</definedName>
    <definedName name="Int">#N/A</definedName>
    <definedName name="Interest_Rate">#N/A</definedName>
    <definedName name="Last_Row">IF(Values_Entered,Header_Row+Number_of_Payments,Header_Row)</definedName>
    <definedName name="liste_oui_non">#REF!</definedName>
    <definedName name="ListeConsommables" localSheetId="17">tblConsommables[Article]</definedName>
    <definedName name="ListeConsommables" localSheetId="18">tblConsommables[Article]</definedName>
    <definedName name="ListeConsommables" localSheetId="19">tblConsommables[Article]</definedName>
    <definedName name="ListeConsommables" localSheetId="20">tblConsommables[Article]</definedName>
    <definedName name="ListeConsommables" localSheetId="21">tblConsommables[Article]</definedName>
    <definedName name="ListeConsommables" localSheetId="22">tblConsommables[Article]</definedName>
    <definedName name="ListeConsommables" localSheetId="23">tblConsommables[Article]</definedName>
    <definedName name="ListeConsommables">tblConsommables[Article]</definedName>
    <definedName name="ListeIngredients" localSheetId="14">tblConsommables[Article]</definedName>
    <definedName name="ListeIngredients" localSheetId="17">tblIngredients[Article]</definedName>
    <definedName name="ListeIngredients" localSheetId="18">tblIngredients[Article]</definedName>
    <definedName name="ListeIngredients" localSheetId="19">tblIngredients[Article]</definedName>
    <definedName name="ListeIngredients" localSheetId="20">tblIngredients[Article]</definedName>
    <definedName name="ListeIngredients" localSheetId="21">tblIngredients[Article]</definedName>
    <definedName name="ListeIngredients" localSheetId="22">tblIngredients[Article]</definedName>
    <definedName name="ListeIngredients" localSheetId="23">tblIngredients[Article]</definedName>
    <definedName name="ListeIngredients">tblIngredients[Article]</definedName>
    <definedName name="Loan_Amount">#N/A</definedName>
    <definedName name="Loan_Start">#N/A</definedName>
    <definedName name="Loan_Years">#N/A</definedName>
    <definedName name="NbMois">#REF!</definedName>
    <definedName name="Num_Pmt_Per_Year">#N/A</definedName>
    <definedName name="Number_of_Payments">MATCH(0.01,End_Bal,-1)+1</definedName>
    <definedName name="ok_voir_commentaires">#REF!</definedName>
    <definedName name="Pay_Date">#N/A</definedName>
    <definedName name="Pay_Num">#N/A</definedName>
    <definedName name="Payment_Date">DATE(YEAR(Loan_Start),MONTH(Loan_Start)+Payment_Number,DAY(Loan_Start))</definedName>
    <definedName name="Plafond_1">#REF!</definedName>
    <definedName name="Plafond_2">#REF!</definedName>
    <definedName name="Plafond_3">#REF!</definedName>
    <definedName name="Plafond_4">#REF!</definedName>
    <definedName name="Plafond_5">#REF!</definedName>
    <definedName name="Plancher_1">#REF!</definedName>
    <definedName name="Plancher_2">#REF!</definedName>
    <definedName name="Plancher_3">#REF!</definedName>
    <definedName name="Plancher_4">#REF!</definedName>
    <definedName name="Plancher_5">#REF!</definedName>
    <definedName name="Princ">#N/A</definedName>
    <definedName name="Print_Area_Reset">OFFSET(Full_Print,0,0,Last_Row)</definedName>
    <definedName name="Res_imp_annee_1">#REF!</definedName>
    <definedName name="Res_imp_annee_2">#REF!</definedName>
    <definedName name="Res_imp_annee_3">#REF!</definedName>
    <definedName name="Sched_Pay">#N/A</definedName>
    <definedName name="Scheduled_Extra_Payments">#N/A</definedName>
    <definedName name="Scheduled_Interest_Rate">#N/A</definedName>
    <definedName name="Scheduled_Monthly_Payment">#N/A</definedName>
    <definedName name="Taux_1">#REF!</definedName>
    <definedName name="Taux_2">#REF!</definedName>
    <definedName name="Taux_3">#REF!</definedName>
    <definedName name="Taux_4">#REF!</definedName>
    <definedName name="Taux_5">#REF!</definedName>
    <definedName name="Total_Interest">#N/A</definedName>
    <definedName name="Total_Pay">#N/A</definedName>
    <definedName name="Total_Payment">Scheduled_Payment+Extra_Payment</definedName>
    <definedName name="Trance_4_active">#REF!</definedName>
    <definedName name="Trance_5_active">#REF!</definedName>
    <definedName name="Tranche_4_active">#REF!</definedName>
    <definedName name="Tranche_5_Active">#REF!</definedName>
    <definedName name="tranche_finale_1">#REF!</definedName>
    <definedName name="tranche_finale_1_an_3">#REF!</definedName>
    <definedName name="tranche_finale_2">#REF!</definedName>
    <definedName name="tranche_finale_2_an_2">#REF!</definedName>
    <definedName name="tranche_finale_2_an_3">#REF!</definedName>
    <definedName name="tranche_finale_3">#REF!</definedName>
    <definedName name="tranche_finale_4">#REF!</definedName>
    <definedName name="tranche_finale_5">#REF!</definedName>
    <definedName name="tranche_finale_an_2">#REF!</definedName>
    <definedName name="types_crédit">#REF!</definedName>
    <definedName name="Values_Entered">IF(Loan_Amount*Interest_Rate*Loan_Years*Loan_Start&gt;0,1,0)</definedName>
    <definedName name="Versements_supplémentaires_facultatifs">#N/A</definedName>
    <definedName name="_xlnm.Print_Area" localSheetId="12">'11. Résultats'!$A$9:$F$82</definedName>
    <definedName name="_xlnm.Print_Area" localSheetId="2">'2. INVEST &amp; AMORT'!$A$6:$W$41</definedName>
    <definedName name="_xlnm.Print_Area" localSheetId="5">'4. CHARGES FIXES'!$A$7:$L$97</definedName>
    <definedName name="_xlnm.Print_Area" localSheetId="16">'FT_PROD (1)'!$A$1:$I$54</definedName>
    <definedName name="_xlnm.Print_Area" localSheetId="17">'FT_PROD (2)'!$A$1:$I$54</definedName>
    <definedName name="_xlnm.Print_Area" localSheetId="18">'FT_PROD (3)'!$A$1:$I$54</definedName>
    <definedName name="_xlnm.Print_Area" localSheetId="19">'FT_PROD (4)'!$A$1:$I$54</definedName>
    <definedName name="_xlnm.Print_Area" localSheetId="20">'FT_PROD (5)'!$A$1:$I$54</definedName>
    <definedName name="_xlnm.Print_Area" localSheetId="21">'FT_PROD (6)'!$A$1:$I$54</definedName>
    <definedName name="_xlnm.Print_Area" localSheetId="22">'FT_PROD (7)'!$A$1:$I$54</definedName>
    <definedName name="_xlnm.Print_Area" localSheetId="23">'FT_PROD (8)'!$A$1:$I$54</definedName>
  </definedNames>
  <calcPr calcId="191029"/>
  <pivotCaches>
    <pivotCache cacheId="0" r:id="rId2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3" i="16" l="1"/>
  <c r="J83" i="16"/>
  <c r="B55" i="49"/>
  <c r="A55" i="49"/>
  <c r="E35" i="49"/>
  <c r="C35" i="49"/>
  <c r="E34" i="49"/>
  <c r="C34" i="49"/>
  <c r="E33" i="49"/>
  <c r="C33" i="49"/>
  <c r="B29" i="49"/>
  <c r="B22" i="49"/>
  <c r="B12" i="49"/>
  <c r="B10" i="49"/>
  <c r="A56" i="49" s="1"/>
  <c r="B7" i="49"/>
  <c r="A8" i="48"/>
  <c r="B8" i="48"/>
  <c r="C8" i="48"/>
  <c r="A9" i="48"/>
  <c r="B9" i="48"/>
  <c r="C9" i="48"/>
  <c r="A10" i="48"/>
  <c r="B10" i="48"/>
  <c r="C10" i="48"/>
  <c r="A11" i="48"/>
  <c r="B11" i="48"/>
  <c r="C11" i="48"/>
  <c r="A12" i="48"/>
  <c r="B12" i="48"/>
  <c r="C12" i="48"/>
  <c r="A13" i="48"/>
  <c r="B13" i="48"/>
  <c r="C13" i="48"/>
  <c r="A14" i="48"/>
  <c r="B14" i="48"/>
  <c r="C14" i="48"/>
  <c r="A15" i="48"/>
  <c r="B15" i="48"/>
  <c r="C15" i="48"/>
  <c r="A16" i="48"/>
  <c r="B16" i="48"/>
  <c r="C16" i="48"/>
  <c r="A17" i="48"/>
  <c r="B17" i="48"/>
  <c r="C17" i="48"/>
  <c r="B49" i="6"/>
  <c r="B48" i="6"/>
  <c r="B47" i="6"/>
  <c r="B46" i="6"/>
  <c r="B45" i="6"/>
  <c r="B44" i="6"/>
  <c r="B43" i="6"/>
  <c r="B42" i="6"/>
  <c r="B41" i="6"/>
  <c r="B40" i="6"/>
  <c r="B39" i="6"/>
  <c r="B38" i="6"/>
  <c r="A1" i="39"/>
  <c r="A10" i="39" a="1"/>
  <c r="A10" i="39"/>
  <c r="A16" i="39" a="1"/>
  <c r="A16" i="39" s="1"/>
  <c r="D73" i="47"/>
  <c r="C73" i="47"/>
  <c r="H72" i="47"/>
  <c r="J72" i="47" s="1" a="1"/>
  <c r="J72" i="47" s="1"/>
  <c r="E72" i="47"/>
  <c r="H71" i="47"/>
  <c r="J71" i="47" s="1" a="1"/>
  <c r="J71" i="47" s="1"/>
  <c r="E71" i="47"/>
  <c r="H70" i="47"/>
  <c r="J70" i="47" s="1" a="1"/>
  <c r="J70" i="47" s="1"/>
  <c r="E70" i="47"/>
  <c r="H69" i="47"/>
  <c r="J69" i="47" s="1" a="1"/>
  <c r="J69" i="47" s="1"/>
  <c r="E69" i="47"/>
  <c r="H68" i="47"/>
  <c r="J68" i="47" s="1" a="1"/>
  <c r="J68" i="47" s="1"/>
  <c r="E68" i="47"/>
  <c r="H67" i="47"/>
  <c r="J67" i="47" s="1" a="1"/>
  <c r="J67" i="47" s="1"/>
  <c r="E67" i="47"/>
  <c r="H66" i="47"/>
  <c r="J66" i="47" s="1" a="1"/>
  <c r="J66" i="47" s="1"/>
  <c r="E66" i="47"/>
  <c r="H65" i="47"/>
  <c r="J65" i="47" s="1" a="1"/>
  <c r="J65" i="47" s="1"/>
  <c r="E65" i="47"/>
  <c r="H64" i="47"/>
  <c r="J64" i="47" s="1" a="1"/>
  <c r="J64" i="47" s="1"/>
  <c r="E64" i="47"/>
  <c r="H63" i="47"/>
  <c r="J63" i="47" s="1" a="1"/>
  <c r="J63" i="47" s="1"/>
  <c r="E63" i="47"/>
  <c r="H62" i="47"/>
  <c r="J62" i="47" s="1" a="1"/>
  <c r="J62" i="47" s="1"/>
  <c r="E62" i="47"/>
  <c r="H61" i="47"/>
  <c r="H73" i="47" s="1"/>
  <c r="E61" i="47"/>
  <c r="E73" i="47" s="1"/>
  <c r="G49" i="47"/>
  <c r="G42" i="47"/>
  <c r="H42" i="47" s="1"/>
  <c r="E42" i="47"/>
  <c r="D42" i="47"/>
  <c r="C42" i="47"/>
  <c r="G41" i="47"/>
  <c r="H41" i="47" s="1"/>
  <c r="E41" i="47"/>
  <c r="D41" i="47"/>
  <c r="C41" i="47"/>
  <c r="H40" i="47"/>
  <c r="G40" i="47"/>
  <c r="E40" i="47"/>
  <c r="D40" i="47"/>
  <c r="C40" i="47"/>
  <c r="G39" i="47"/>
  <c r="H39" i="47" s="1"/>
  <c r="E39" i="47"/>
  <c r="D39" i="47"/>
  <c r="C39" i="47"/>
  <c r="G38" i="47"/>
  <c r="H38" i="47" s="1"/>
  <c r="E38" i="47"/>
  <c r="D38" i="47"/>
  <c r="C38" i="47"/>
  <c r="G37" i="47"/>
  <c r="E37" i="47"/>
  <c r="D37" i="47"/>
  <c r="C37" i="47"/>
  <c r="E36" i="47"/>
  <c r="G36" i="47" s="1"/>
  <c r="D36" i="47"/>
  <c r="C36" i="47"/>
  <c r="E35" i="47"/>
  <c r="G35" i="47" s="1"/>
  <c r="D35" i="47"/>
  <c r="C35" i="47"/>
  <c r="E34" i="47"/>
  <c r="G34" i="47" s="1"/>
  <c r="D34" i="47"/>
  <c r="C34" i="47"/>
  <c r="G32" i="47"/>
  <c r="H32" i="47" s="1"/>
  <c r="E32" i="47"/>
  <c r="D32" i="47"/>
  <c r="C32" i="47"/>
  <c r="G31" i="47"/>
  <c r="H31" i="47" s="1"/>
  <c r="E31" i="47"/>
  <c r="D31" i="47"/>
  <c r="C31" i="47"/>
  <c r="G30" i="47"/>
  <c r="H30" i="47" s="1"/>
  <c r="E30" i="47"/>
  <c r="D30" i="47"/>
  <c r="C30" i="47"/>
  <c r="H29" i="47"/>
  <c r="G29" i="47"/>
  <c r="E29" i="47"/>
  <c r="D29" i="47"/>
  <c r="C29" i="47"/>
  <c r="G27" i="47"/>
  <c r="H27" i="47" s="1"/>
  <c r="E27" i="47"/>
  <c r="D27" i="47"/>
  <c r="C27" i="47"/>
  <c r="G26" i="47"/>
  <c r="H26" i="47" s="1"/>
  <c r="E26" i="47"/>
  <c r="D26" i="47"/>
  <c r="C26" i="47"/>
  <c r="G25" i="47"/>
  <c r="H25" i="47" s="1"/>
  <c r="E25" i="47"/>
  <c r="D25" i="47"/>
  <c r="C25" i="47"/>
  <c r="H24" i="47"/>
  <c r="G24" i="47"/>
  <c r="E24" i="47"/>
  <c r="D24" i="47"/>
  <c r="C24" i="47"/>
  <c r="G23" i="47"/>
  <c r="H23" i="47" s="1"/>
  <c r="E23" i="47"/>
  <c r="D23" i="47"/>
  <c r="C23" i="47"/>
  <c r="G22" i="47"/>
  <c r="H22" i="47" s="1"/>
  <c r="E22" i="47"/>
  <c r="D22" i="47"/>
  <c r="C22" i="47"/>
  <c r="G21" i="47"/>
  <c r="E21" i="47"/>
  <c r="D21" i="47"/>
  <c r="C21" i="47"/>
  <c r="E20" i="47"/>
  <c r="G20" i="47" s="1"/>
  <c r="D20" i="47"/>
  <c r="C20" i="47"/>
  <c r="E19" i="47"/>
  <c r="G19" i="47" s="1"/>
  <c r="D19" i="47"/>
  <c r="C19" i="47"/>
  <c r="E18" i="47"/>
  <c r="G18" i="47" s="1"/>
  <c r="D18" i="47"/>
  <c r="C18" i="47"/>
  <c r="G17" i="47"/>
  <c r="E17" i="47"/>
  <c r="D17" i="47"/>
  <c r="C17" i="47"/>
  <c r="D13" i="47"/>
  <c r="D12" i="47"/>
  <c r="G10" i="47"/>
  <c r="K49" i="47" s="1"/>
  <c r="D7" i="47"/>
  <c r="D9" i="47" s="1"/>
  <c r="D73" i="46"/>
  <c r="C73" i="46"/>
  <c r="H72" i="46"/>
  <c r="J72" i="46" s="1" a="1"/>
  <c r="J72" i="46" s="1"/>
  <c r="E72" i="46"/>
  <c r="J71" i="46" a="1"/>
  <c r="J71" i="46" s="1"/>
  <c r="H71" i="46"/>
  <c r="E71" i="46"/>
  <c r="H70" i="46"/>
  <c r="J70" i="46" s="1" a="1"/>
  <c r="J70" i="46" s="1"/>
  <c r="E70" i="46"/>
  <c r="J69" i="46" a="1"/>
  <c r="J69" i="46" s="1"/>
  <c r="H69" i="46"/>
  <c r="E69" i="46"/>
  <c r="H68" i="46"/>
  <c r="J68" i="46" s="1" a="1"/>
  <c r="J68" i="46" s="1"/>
  <c r="E68" i="46"/>
  <c r="J67" i="46"/>
  <c r="J67" i="46" a="1"/>
  <c r="H67" i="46"/>
  <c r="E67" i="46"/>
  <c r="H66" i="46"/>
  <c r="J66" i="46" s="1" a="1"/>
  <c r="J66" i="46" s="1"/>
  <c r="E66" i="46"/>
  <c r="J65" i="46"/>
  <c r="J65" i="46" a="1"/>
  <c r="H65" i="46"/>
  <c r="E65" i="46"/>
  <c r="H64" i="46"/>
  <c r="J64" i="46" s="1" a="1"/>
  <c r="J64" i="46" s="1"/>
  <c r="E64" i="46"/>
  <c r="J63" i="46" a="1"/>
  <c r="J63" i="46" s="1"/>
  <c r="H63" i="46"/>
  <c r="E63" i="46"/>
  <c r="H62" i="46"/>
  <c r="J62" i="46" s="1" a="1"/>
  <c r="J62" i="46" s="1"/>
  <c r="E62" i="46"/>
  <c r="E73" i="46" s="1"/>
  <c r="J61" i="46" a="1"/>
  <c r="J61" i="46" s="1"/>
  <c r="H61" i="46"/>
  <c r="E61" i="46"/>
  <c r="K49" i="46"/>
  <c r="G49" i="46"/>
  <c r="G42" i="46"/>
  <c r="H42" i="46" s="1"/>
  <c r="E42" i="46"/>
  <c r="D42" i="46"/>
  <c r="C42" i="46"/>
  <c r="G41" i="46"/>
  <c r="H41" i="46" s="1"/>
  <c r="E41" i="46"/>
  <c r="D41" i="46"/>
  <c r="C41" i="46"/>
  <c r="G40" i="46"/>
  <c r="H40" i="46" s="1"/>
  <c r="E40" i="46"/>
  <c r="D40" i="46"/>
  <c r="C40" i="46"/>
  <c r="H39" i="46"/>
  <c r="G39" i="46"/>
  <c r="E39" i="46"/>
  <c r="D39" i="46"/>
  <c r="C39" i="46"/>
  <c r="H38" i="46"/>
  <c r="G38" i="46"/>
  <c r="E38" i="46"/>
  <c r="D38" i="46"/>
  <c r="C38" i="46"/>
  <c r="E37" i="46"/>
  <c r="G37" i="46" s="1"/>
  <c r="D37" i="46"/>
  <c r="C37" i="46"/>
  <c r="G36" i="46"/>
  <c r="E36" i="46"/>
  <c r="D36" i="46"/>
  <c r="C36" i="46"/>
  <c r="G35" i="46"/>
  <c r="E35" i="46"/>
  <c r="D35" i="46"/>
  <c r="C35" i="46"/>
  <c r="G34" i="46"/>
  <c r="E34" i="46"/>
  <c r="D34" i="46"/>
  <c r="C34" i="46"/>
  <c r="H32" i="46"/>
  <c r="G32" i="46"/>
  <c r="E32" i="46"/>
  <c r="D32" i="46"/>
  <c r="C32" i="46"/>
  <c r="H31" i="46"/>
  <c r="G31" i="46"/>
  <c r="E31" i="46"/>
  <c r="D31" i="46"/>
  <c r="C31" i="46"/>
  <c r="H30" i="46"/>
  <c r="G30" i="46"/>
  <c r="E30" i="46"/>
  <c r="D30" i="46"/>
  <c r="C30" i="46"/>
  <c r="G29" i="46"/>
  <c r="H29" i="46" s="1"/>
  <c r="E29" i="46"/>
  <c r="D29" i="46"/>
  <c r="C29" i="46"/>
  <c r="H27" i="46"/>
  <c r="G27" i="46"/>
  <c r="E27" i="46"/>
  <c r="D27" i="46"/>
  <c r="C27" i="46"/>
  <c r="G26" i="46"/>
  <c r="H26" i="46" s="1"/>
  <c r="E26" i="46"/>
  <c r="D26" i="46"/>
  <c r="C26" i="46"/>
  <c r="H25" i="46"/>
  <c r="G25" i="46"/>
  <c r="E25" i="46"/>
  <c r="D25" i="46"/>
  <c r="C25" i="46"/>
  <c r="G24" i="46"/>
  <c r="H24" i="46" s="1"/>
  <c r="E24" i="46"/>
  <c r="D24" i="46"/>
  <c r="C24" i="46"/>
  <c r="H23" i="46"/>
  <c r="G23" i="46"/>
  <c r="E23" i="46"/>
  <c r="D23" i="46"/>
  <c r="C23" i="46"/>
  <c r="H22" i="46"/>
  <c r="G22" i="46"/>
  <c r="E22" i="46"/>
  <c r="D22" i="46"/>
  <c r="C22" i="46"/>
  <c r="E21" i="46"/>
  <c r="G21" i="46" s="1"/>
  <c r="D21" i="46"/>
  <c r="C21" i="46"/>
  <c r="G20" i="46"/>
  <c r="E20" i="46"/>
  <c r="D20" i="46"/>
  <c r="C20" i="46"/>
  <c r="G19" i="46"/>
  <c r="E19" i="46"/>
  <c r="D19" i="46"/>
  <c r="C19" i="46"/>
  <c r="G18" i="46"/>
  <c r="E18" i="46"/>
  <c r="D18" i="46"/>
  <c r="C18" i="46"/>
  <c r="E17" i="46"/>
  <c r="G17" i="46" s="1"/>
  <c r="D17" i="46"/>
  <c r="C17" i="46"/>
  <c r="D12" i="46"/>
  <c r="G10" i="46"/>
  <c r="D13" i="46" s="1"/>
  <c r="D9" i="46"/>
  <c r="D7" i="46"/>
  <c r="D73" i="45"/>
  <c r="C73" i="45"/>
  <c r="H72" i="45"/>
  <c r="J72" i="45" s="1" a="1"/>
  <c r="J72" i="45" s="1"/>
  <c r="E72" i="45"/>
  <c r="H71" i="45"/>
  <c r="J71" i="45" s="1" a="1"/>
  <c r="J71" i="45" s="1"/>
  <c r="E71" i="45"/>
  <c r="H70" i="45"/>
  <c r="J70" i="45" s="1" a="1"/>
  <c r="J70" i="45" s="1"/>
  <c r="E70" i="45"/>
  <c r="H69" i="45"/>
  <c r="J69" i="45" s="1" a="1"/>
  <c r="J69" i="45" s="1"/>
  <c r="E69" i="45"/>
  <c r="H68" i="45"/>
  <c r="J68" i="45" s="1" a="1"/>
  <c r="J68" i="45" s="1"/>
  <c r="E68" i="45"/>
  <c r="H67" i="45"/>
  <c r="J67" i="45" s="1" a="1"/>
  <c r="J67" i="45" s="1"/>
  <c r="E67" i="45"/>
  <c r="H66" i="45"/>
  <c r="J66" i="45" s="1" a="1"/>
  <c r="J66" i="45" s="1"/>
  <c r="E66" i="45"/>
  <c r="H65" i="45"/>
  <c r="J65" i="45" s="1" a="1"/>
  <c r="J65" i="45" s="1"/>
  <c r="E65" i="45"/>
  <c r="H64" i="45"/>
  <c r="J64" i="45" s="1" a="1"/>
  <c r="J64" i="45" s="1"/>
  <c r="E64" i="45"/>
  <c r="H63" i="45"/>
  <c r="J63" i="45" s="1" a="1"/>
  <c r="J63" i="45" s="1"/>
  <c r="E63" i="45"/>
  <c r="H62" i="45"/>
  <c r="J62" i="45" s="1" a="1"/>
  <c r="J62" i="45" s="1"/>
  <c r="E62" i="45"/>
  <c r="H61" i="45"/>
  <c r="H73" i="45" s="1"/>
  <c r="E61" i="45"/>
  <c r="E73" i="45" s="1"/>
  <c r="G49" i="45"/>
  <c r="G42" i="45"/>
  <c r="H42" i="45" s="1"/>
  <c r="E42" i="45"/>
  <c r="D42" i="45"/>
  <c r="C42" i="45"/>
  <c r="G41" i="45"/>
  <c r="H41" i="45" s="1"/>
  <c r="E41" i="45"/>
  <c r="D41" i="45"/>
  <c r="C41" i="45"/>
  <c r="H40" i="45"/>
  <c r="G40" i="45"/>
  <c r="E40" i="45"/>
  <c r="D40" i="45"/>
  <c r="C40" i="45"/>
  <c r="G39" i="45"/>
  <c r="H39" i="45" s="1"/>
  <c r="E39" i="45"/>
  <c r="D39" i="45"/>
  <c r="C39" i="45"/>
  <c r="G38" i="45"/>
  <c r="H38" i="45" s="1"/>
  <c r="E38" i="45"/>
  <c r="D38" i="45"/>
  <c r="C38" i="45"/>
  <c r="G37" i="45"/>
  <c r="E37" i="45"/>
  <c r="D37" i="45"/>
  <c r="C37" i="45"/>
  <c r="E36" i="45"/>
  <c r="G36" i="45" s="1"/>
  <c r="D36" i="45"/>
  <c r="C36" i="45"/>
  <c r="G35" i="45"/>
  <c r="E35" i="45"/>
  <c r="D35" i="45"/>
  <c r="C35" i="45"/>
  <c r="E34" i="45"/>
  <c r="G34" i="45" s="1"/>
  <c r="D34" i="45"/>
  <c r="C34" i="45"/>
  <c r="G32" i="45"/>
  <c r="H32" i="45" s="1"/>
  <c r="E32" i="45"/>
  <c r="D32" i="45"/>
  <c r="C32" i="45"/>
  <c r="H31" i="45"/>
  <c r="G31" i="45"/>
  <c r="E31" i="45"/>
  <c r="D31" i="45"/>
  <c r="C31" i="45"/>
  <c r="G30" i="45"/>
  <c r="H30" i="45" s="1"/>
  <c r="E30" i="45"/>
  <c r="D30" i="45"/>
  <c r="C30" i="45"/>
  <c r="H29" i="45"/>
  <c r="G29" i="45"/>
  <c r="E29" i="45"/>
  <c r="D29" i="45"/>
  <c r="C29" i="45"/>
  <c r="G27" i="45"/>
  <c r="H27" i="45" s="1"/>
  <c r="E27" i="45"/>
  <c r="D27" i="45"/>
  <c r="C27" i="45"/>
  <c r="G26" i="45"/>
  <c r="H26" i="45" s="1"/>
  <c r="E26" i="45"/>
  <c r="D26" i="45"/>
  <c r="C26" i="45"/>
  <c r="G25" i="45"/>
  <c r="H25" i="45" s="1"/>
  <c r="E25" i="45"/>
  <c r="D25" i="45"/>
  <c r="C25" i="45"/>
  <c r="H24" i="45"/>
  <c r="G24" i="45"/>
  <c r="E24" i="45"/>
  <c r="D24" i="45"/>
  <c r="C24" i="45"/>
  <c r="G23" i="45"/>
  <c r="H23" i="45" s="1"/>
  <c r="E23" i="45"/>
  <c r="D23" i="45"/>
  <c r="C23" i="45"/>
  <c r="H22" i="45"/>
  <c r="G22" i="45"/>
  <c r="E22" i="45"/>
  <c r="D22" i="45"/>
  <c r="C22" i="45"/>
  <c r="G21" i="45"/>
  <c r="H21" i="45" s="1"/>
  <c r="E21" i="45"/>
  <c r="D21" i="45"/>
  <c r="C21" i="45"/>
  <c r="E20" i="45"/>
  <c r="G20" i="45" s="1"/>
  <c r="D20" i="45"/>
  <c r="C20" i="45"/>
  <c r="G19" i="45"/>
  <c r="E19" i="45"/>
  <c r="D19" i="45"/>
  <c r="C19" i="45"/>
  <c r="E18" i="45"/>
  <c r="G18" i="45" s="1"/>
  <c r="D18" i="45"/>
  <c r="C18" i="45"/>
  <c r="G17" i="45"/>
  <c r="G33" i="45" s="1"/>
  <c r="E17" i="45"/>
  <c r="D17" i="45"/>
  <c r="C17" i="45"/>
  <c r="D13" i="45"/>
  <c r="D12" i="45"/>
  <c r="G10" i="45"/>
  <c r="K49" i="45" s="1"/>
  <c r="D7" i="45"/>
  <c r="D9" i="45" s="1"/>
  <c r="D73" i="44"/>
  <c r="C73" i="44"/>
  <c r="H72" i="44"/>
  <c r="J72" i="44" s="1" a="1"/>
  <c r="J72" i="44" s="1"/>
  <c r="E72" i="44"/>
  <c r="H71" i="44"/>
  <c r="J71" i="44" s="1" a="1"/>
  <c r="J71" i="44" s="1"/>
  <c r="E71" i="44"/>
  <c r="H70" i="44"/>
  <c r="J70" i="44" s="1" a="1"/>
  <c r="J70" i="44" s="1"/>
  <c r="E70" i="44"/>
  <c r="H69" i="44"/>
  <c r="J69" i="44" s="1" a="1"/>
  <c r="J69" i="44" s="1"/>
  <c r="E69" i="44"/>
  <c r="H68" i="44"/>
  <c r="J68" i="44" s="1" a="1"/>
  <c r="J68" i="44" s="1"/>
  <c r="E68" i="44"/>
  <c r="H67" i="44"/>
  <c r="J67" i="44" s="1" a="1"/>
  <c r="J67" i="44" s="1"/>
  <c r="E67" i="44"/>
  <c r="H66" i="44"/>
  <c r="J66" i="44" s="1" a="1"/>
  <c r="J66" i="44" s="1"/>
  <c r="E66" i="44"/>
  <c r="H65" i="44"/>
  <c r="J65" i="44" s="1" a="1"/>
  <c r="J65" i="44" s="1"/>
  <c r="E65" i="44"/>
  <c r="H64" i="44"/>
  <c r="J64" i="44" s="1" a="1"/>
  <c r="J64" i="44" s="1"/>
  <c r="E64" i="44"/>
  <c r="H63" i="44"/>
  <c r="J63" i="44" s="1" a="1"/>
  <c r="J63" i="44" s="1"/>
  <c r="E63" i="44"/>
  <c r="H62" i="44"/>
  <c r="J62" i="44" s="1" a="1"/>
  <c r="J62" i="44" s="1"/>
  <c r="E62" i="44"/>
  <c r="H61" i="44"/>
  <c r="H73" i="44" s="1"/>
  <c r="E61" i="44"/>
  <c r="E73" i="44" s="1"/>
  <c r="G49" i="44"/>
  <c r="G42" i="44"/>
  <c r="H42" i="44" s="1"/>
  <c r="E42" i="44"/>
  <c r="D42" i="44"/>
  <c r="C42" i="44"/>
  <c r="G41" i="44"/>
  <c r="H41" i="44" s="1"/>
  <c r="E41" i="44"/>
  <c r="D41" i="44"/>
  <c r="C41" i="44"/>
  <c r="H40" i="44"/>
  <c r="G40" i="44"/>
  <c r="E40" i="44"/>
  <c r="D40" i="44"/>
  <c r="C40" i="44"/>
  <c r="G39" i="44"/>
  <c r="H39" i="44" s="1"/>
  <c r="E39" i="44"/>
  <c r="D39" i="44"/>
  <c r="C39" i="44"/>
  <c r="G38" i="44"/>
  <c r="H38" i="44" s="1"/>
  <c r="E38" i="44"/>
  <c r="D38" i="44"/>
  <c r="C38" i="44"/>
  <c r="G37" i="44"/>
  <c r="E37" i="44"/>
  <c r="D37" i="44"/>
  <c r="C37" i="44"/>
  <c r="E36" i="44"/>
  <c r="G36" i="44" s="1"/>
  <c r="D36" i="44"/>
  <c r="C36" i="44"/>
  <c r="E35" i="44"/>
  <c r="G35" i="44" s="1"/>
  <c r="D35" i="44"/>
  <c r="C35" i="44"/>
  <c r="E34" i="44"/>
  <c r="G34" i="44" s="1"/>
  <c r="D34" i="44"/>
  <c r="C34" i="44"/>
  <c r="H32" i="44"/>
  <c r="G32" i="44"/>
  <c r="E32" i="44"/>
  <c r="D32" i="44"/>
  <c r="C32" i="44"/>
  <c r="G31" i="44"/>
  <c r="H31" i="44" s="1"/>
  <c r="E31" i="44"/>
  <c r="D31" i="44"/>
  <c r="C31" i="44"/>
  <c r="G30" i="44"/>
  <c r="H30" i="44" s="1"/>
  <c r="E30" i="44"/>
  <c r="D30" i="44"/>
  <c r="C30" i="44"/>
  <c r="H29" i="44"/>
  <c r="G29" i="44"/>
  <c r="E29" i="44"/>
  <c r="D29" i="44"/>
  <c r="C29" i="44"/>
  <c r="G27" i="44"/>
  <c r="H27" i="44" s="1"/>
  <c r="E27" i="44"/>
  <c r="D27" i="44"/>
  <c r="C27" i="44"/>
  <c r="G26" i="44"/>
  <c r="H26" i="44" s="1"/>
  <c r="E26" i="44"/>
  <c r="D26" i="44"/>
  <c r="C26" i="44"/>
  <c r="G25" i="44"/>
  <c r="H25" i="44" s="1"/>
  <c r="E25" i="44"/>
  <c r="D25" i="44"/>
  <c r="C25" i="44"/>
  <c r="H24" i="44"/>
  <c r="G24" i="44"/>
  <c r="E24" i="44"/>
  <c r="D24" i="44"/>
  <c r="C24" i="44"/>
  <c r="H23" i="44"/>
  <c r="G23" i="44"/>
  <c r="E23" i="44"/>
  <c r="D23" i="44"/>
  <c r="C23" i="44"/>
  <c r="G22" i="44"/>
  <c r="H22" i="44" s="1"/>
  <c r="E22" i="44"/>
  <c r="D22" i="44"/>
  <c r="C22" i="44"/>
  <c r="G21" i="44"/>
  <c r="E21" i="44"/>
  <c r="D21" i="44"/>
  <c r="C21" i="44"/>
  <c r="E20" i="44"/>
  <c r="G20" i="44" s="1"/>
  <c r="D20" i="44"/>
  <c r="C20" i="44"/>
  <c r="E19" i="44"/>
  <c r="G19" i="44" s="1"/>
  <c r="D19" i="44"/>
  <c r="C19" i="44"/>
  <c r="E18" i="44"/>
  <c r="G18" i="44" s="1"/>
  <c r="D18" i="44"/>
  <c r="C18" i="44"/>
  <c r="G17" i="44"/>
  <c r="G33" i="44" s="1"/>
  <c r="E17" i="44"/>
  <c r="D17" i="44"/>
  <c r="C17" i="44"/>
  <c r="D13" i="44"/>
  <c r="D12" i="44"/>
  <c r="G10" i="44"/>
  <c r="K49" i="44" s="1"/>
  <c r="D7" i="44"/>
  <c r="D9" i="44" s="1"/>
  <c r="D73" i="43"/>
  <c r="C73" i="43"/>
  <c r="H72" i="43"/>
  <c r="J72" i="43" s="1" a="1"/>
  <c r="J72" i="43" s="1"/>
  <c r="E72" i="43"/>
  <c r="H71" i="43"/>
  <c r="J71" i="43" s="1" a="1"/>
  <c r="J71" i="43" s="1"/>
  <c r="E71" i="43"/>
  <c r="H70" i="43"/>
  <c r="J70" i="43" s="1" a="1"/>
  <c r="J70" i="43" s="1"/>
  <c r="E70" i="43"/>
  <c r="H69" i="43"/>
  <c r="J69" i="43" s="1" a="1"/>
  <c r="J69" i="43" s="1"/>
  <c r="E69" i="43"/>
  <c r="H68" i="43"/>
  <c r="J68" i="43" s="1" a="1"/>
  <c r="J68" i="43" s="1"/>
  <c r="E68" i="43"/>
  <c r="H67" i="43"/>
  <c r="J67" i="43" s="1" a="1"/>
  <c r="J67" i="43" s="1"/>
  <c r="E67" i="43"/>
  <c r="H66" i="43"/>
  <c r="J66" i="43" s="1" a="1"/>
  <c r="J66" i="43" s="1"/>
  <c r="E66" i="43"/>
  <c r="H65" i="43"/>
  <c r="J65" i="43" s="1" a="1"/>
  <c r="J65" i="43" s="1"/>
  <c r="E65" i="43"/>
  <c r="H64" i="43"/>
  <c r="J64" i="43" s="1" a="1"/>
  <c r="J64" i="43" s="1"/>
  <c r="E64" i="43"/>
  <c r="H63" i="43"/>
  <c r="J63" i="43" s="1" a="1"/>
  <c r="J63" i="43" s="1"/>
  <c r="E63" i="43"/>
  <c r="H62" i="43"/>
  <c r="J62" i="43" s="1" a="1"/>
  <c r="J62" i="43" s="1"/>
  <c r="E62" i="43"/>
  <c r="H61" i="43"/>
  <c r="H73" i="43" s="1"/>
  <c r="E61" i="43"/>
  <c r="E73" i="43" s="1"/>
  <c r="G49" i="43"/>
  <c r="G42" i="43"/>
  <c r="H42" i="43" s="1"/>
  <c r="E42" i="43"/>
  <c r="D42" i="43"/>
  <c r="C42" i="43"/>
  <c r="G41" i="43"/>
  <c r="H41" i="43" s="1"/>
  <c r="E41" i="43"/>
  <c r="D41" i="43"/>
  <c r="C41" i="43"/>
  <c r="H40" i="43"/>
  <c r="G40" i="43"/>
  <c r="E40" i="43"/>
  <c r="D40" i="43"/>
  <c r="C40" i="43"/>
  <c r="G39" i="43"/>
  <c r="H39" i="43" s="1"/>
  <c r="E39" i="43"/>
  <c r="D39" i="43"/>
  <c r="C39" i="43"/>
  <c r="G38" i="43"/>
  <c r="H38" i="43" s="1"/>
  <c r="E38" i="43"/>
  <c r="D38" i="43"/>
  <c r="C38" i="43"/>
  <c r="E37" i="43"/>
  <c r="G37" i="43" s="1"/>
  <c r="D37" i="43"/>
  <c r="C37" i="43"/>
  <c r="E36" i="43"/>
  <c r="G36" i="43" s="1"/>
  <c r="D36" i="43"/>
  <c r="C36" i="43"/>
  <c r="E35" i="43"/>
  <c r="G35" i="43" s="1"/>
  <c r="D35" i="43"/>
  <c r="C35" i="43"/>
  <c r="G34" i="43"/>
  <c r="E34" i="43"/>
  <c r="D34" i="43"/>
  <c r="C34" i="43"/>
  <c r="G32" i="43"/>
  <c r="H32" i="43" s="1"/>
  <c r="E32" i="43"/>
  <c r="D32" i="43"/>
  <c r="C32" i="43"/>
  <c r="G31" i="43"/>
  <c r="H31" i="43" s="1"/>
  <c r="E31" i="43"/>
  <c r="D31" i="43"/>
  <c r="C31" i="43"/>
  <c r="H30" i="43"/>
  <c r="G30" i="43"/>
  <c r="E30" i="43"/>
  <c r="D30" i="43"/>
  <c r="C30" i="43"/>
  <c r="H29" i="43"/>
  <c r="G29" i="43"/>
  <c r="E29" i="43"/>
  <c r="D29" i="43"/>
  <c r="C29" i="43"/>
  <c r="H27" i="43"/>
  <c r="G27" i="43"/>
  <c r="E27" i="43"/>
  <c r="D27" i="43"/>
  <c r="C27" i="43"/>
  <c r="G26" i="43"/>
  <c r="H26" i="43" s="1"/>
  <c r="E26" i="43"/>
  <c r="D26" i="43"/>
  <c r="C26" i="43"/>
  <c r="G25" i="43"/>
  <c r="H25" i="43" s="1"/>
  <c r="E25" i="43"/>
  <c r="D25" i="43"/>
  <c r="C25" i="43"/>
  <c r="G24" i="43"/>
  <c r="H24" i="43" s="1"/>
  <c r="E24" i="43"/>
  <c r="D24" i="43"/>
  <c r="C24" i="43"/>
  <c r="G23" i="43"/>
  <c r="H23" i="43" s="1"/>
  <c r="E23" i="43"/>
  <c r="D23" i="43"/>
  <c r="C23" i="43"/>
  <c r="G22" i="43"/>
  <c r="H22" i="43" s="1"/>
  <c r="E22" i="43"/>
  <c r="D22" i="43"/>
  <c r="C22" i="43"/>
  <c r="E21" i="43"/>
  <c r="G21" i="43" s="1"/>
  <c r="D21" i="43"/>
  <c r="C21" i="43"/>
  <c r="E20" i="43"/>
  <c r="G20" i="43" s="1"/>
  <c r="D20" i="43"/>
  <c r="C20" i="43"/>
  <c r="E19" i="43"/>
  <c r="G19" i="43" s="1"/>
  <c r="D19" i="43"/>
  <c r="C19" i="43"/>
  <c r="G18" i="43"/>
  <c r="E18" i="43"/>
  <c r="D18" i="43"/>
  <c r="C18" i="43"/>
  <c r="G17" i="43"/>
  <c r="E17" i="43"/>
  <c r="D17" i="43"/>
  <c r="C17" i="43"/>
  <c r="C77" i="43" s="1"/>
  <c r="C78" i="43" s="1"/>
  <c r="D12" i="43"/>
  <c r="G10" i="43"/>
  <c r="D13" i="43" s="1"/>
  <c r="D7" i="43"/>
  <c r="D9" i="43" s="1"/>
  <c r="D73" i="42"/>
  <c r="C73" i="42"/>
  <c r="H72" i="42"/>
  <c r="J72" i="42" s="1" a="1"/>
  <c r="J72" i="42" s="1"/>
  <c r="E72" i="42"/>
  <c r="J71" i="42" a="1"/>
  <c r="J71" i="42" s="1"/>
  <c r="H71" i="42"/>
  <c r="E71" i="42"/>
  <c r="H70" i="42"/>
  <c r="J70" i="42" s="1" a="1"/>
  <c r="J70" i="42" s="1"/>
  <c r="E70" i="42"/>
  <c r="J69" i="42" a="1"/>
  <c r="J69" i="42" s="1"/>
  <c r="H69" i="42"/>
  <c r="E69" i="42"/>
  <c r="H68" i="42"/>
  <c r="J68" i="42" s="1" a="1"/>
  <c r="J68" i="42" s="1"/>
  <c r="E68" i="42"/>
  <c r="J67" i="42" a="1"/>
  <c r="J67" i="42" s="1"/>
  <c r="H67" i="42"/>
  <c r="E67" i="42"/>
  <c r="H66" i="42"/>
  <c r="J66" i="42" s="1" a="1"/>
  <c r="J66" i="42" s="1"/>
  <c r="E66" i="42"/>
  <c r="J65" i="42" a="1"/>
  <c r="J65" i="42" s="1"/>
  <c r="H65" i="42"/>
  <c r="E65" i="42"/>
  <c r="H64" i="42"/>
  <c r="J64" i="42" s="1" a="1"/>
  <c r="J64" i="42" s="1"/>
  <c r="E64" i="42"/>
  <c r="J63" i="42" a="1"/>
  <c r="J63" i="42" s="1"/>
  <c r="H63" i="42"/>
  <c r="E63" i="42"/>
  <c r="H62" i="42"/>
  <c r="J62" i="42" s="1" a="1"/>
  <c r="J62" i="42" s="1"/>
  <c r="E62" i="42"/>
  <c r="J61" i="42" a="1"/>
  <c r="J61" i="42" s="1"/>
  <c r="H61" i="42"/>
  <c r="E61" i="42"/>
  <c r="E73" i="42" s="1"/>
  <c r="G49" i="42"/>
  <c r="G42" i="42"/>
  <c r="H42" i="42" s="1"/>
  <c r="E42" i="42"/>
  <c r="D42" i="42"/>
  <c r="C42" i="42"/>
  <c r="G41" i="42"/>
  <c r="H41" i="42" s="1"/>
  <c r="E41" i="42"/>
  <c r="D41" i="42"/>
  <c r="C41" i="42"/>
  <c r="H40" i="42"/>
  <c r="G40" i="42"/>
  <c r="E40" i="42"/>
  <c r="D40" i="42"/>
  <c r="C40" i="42"/>
  <c r="G39" i="42"/>
  <c r="H39" i="42" s="1"/>
  <c r="E39" i="42"/>
  <c r="D39" i="42"/>
  <c r="C39" i="42"/>
  <c r="H38" i="42"/>
  <c r="G38" i="42"/>
  <c r="E38" i="42"/>
  <c r="D38" i="42"/>
  <c r="C38" i="42"/>
  <c r="G37" i="42"/>
  <c r="E37" i="42"/>
  <c r="D37" i="42"/>
  <c r="C37" i="42"/>
  <c r="E36" i="42"/>
  <c r="G36" i="42" s="1"/>
  <c r="D36" i="42"/>
  <c r="C36" i="42"/>
  <c r="G35" i="42"/>
  <c r="E35" i="42"/>
  <c r="D35" i="42"/>
  <c r="C35" i="42"/>
  <c r="E34" i="42"/>
  <c r="G34" i="42" s="1"/>
  <c r="D34" i="42"/>
  <c r="C34" i="42"/>
  <c r="G32" i="42"/>
  <c r="H32" i="42" s="1"/>
  <c r="E32" i="42"/>
  <c r="D32" i="42"/>
  <c r="C32" i="42"/>
  <c r="H31" i="42"/>
  <c r="G31" i="42"/>
  <c r="E31" i="42"/>
  <c r="D31" i="42"/>
  <c r="C31" i="42"/>
  <c r="G30" i="42"/>
  <c r="H30" i="42" s="1"/>
  <c r="E30" i="42"/>
  <c r="D30" i="42"/>
  <c r="C30" i="42"/>
  <c r="H29" i="42"/>
  <c r="G29" i="42"/>
  <c r="E29" i="42"/>
  <c r="D29" i="42"/>
  <c r="C29" i="42"/>
  <c r="G27" i="42"/>
  <c r="H27" i="42" s="1"/>
  <c r="E27" i="42"/>
  <c r="D27" i="42"/>
  <c r="C27" i="42"/>
  <c r="G26" i="42"/>
  <c r="H26" i="42" s="1"/>
  <c r="E26" i="42"/>
  <c r="D26" i="42"/>
  <c r="C26" i="42"/>
  <c r="G25" i="42"/>
  <c r="H25" i="42" s="1"/>
  <c r="E25" i="42"/>
  <c r="D25" i="42"/>
  <c r="C25" i="42"/>
  <c r="H24" i="42"/>
  <c r="G24" i="42"/>
  <c r="E24" i="42"/>
  <c r="D24" i="42"/>
  <c r="C24" i="42"/>
  <c r="G23" i="42"/>
  <c r="H23" i="42" s="1"/>
  <c r="E23" i="42"/>
  <c r="D23" i="42"/>
  <c r="C23" i="42"/>
  <c r="H22" i="42"/>
  <c r="G22" i="42"/>
  <c r="E22" i="42"/>
  <c r="D22" i="42"/>
  <c r="C22" i="42"/>
  <c r="G21" i="42"/>
  <c r="E21" i="42"/>
  <c r="D21" i="42"/>
  <c r="C21" i="42"/>
  <c r="E20" i="42"/>
  <c r="G20" i="42" s="1"/>
  <c r="D20" i="42"/>
  <c r="C20" i="42"/>
  <c r="G19" i="42"/>
  <c r="E19" i="42"/>
  <c r="D19" i="42"/>
  <c r="C19" i="42"/>
  <c r="E18" i="42"/>
  <c r="G18" i="42" s="1"/>
  <c r="D18" i="42"/>
  <c r="C18" i="42"/>
  <c r="G17" i="42"/>
  <c r="E17" i="42"/>
  <c r="D17" i="42"/>
  <c r="C17" i="42"/>
  <c r="D13" i="42"/>
  <c r="D12" i="42"/>
  <c r="G10" i="42"/>
  <c r="K49" i="42" s="1"/>
  <c r="D7" i="42"/>
  <c r="D9" i="42" s="1"/>
  <c r="H73" i="41"/>
  <c r="D73" i="41"/>
  <c r="C73" i="41"/>
  <c r="H72" i="41"/>
  <c r="J72" i="41" s="1" a="1"/>
  <c r="J72" i="41" s="1"/>
  <c r="E72" i="41"/>
  <c r="H71" i="41"/>
  <c r="J71" i="41" s="1" a="1"/>
  <c r="J71" i="41" s="1"/>
  <c r="E71" i="41"/>
  <c r="H70" i="41"/>
  <c r="J70" i="41" s="1" a="1"/>
  <c r="J70" i="41" s="1"/>
  <c r="E70" i="41"/>
  <c r="H69" i="41"/>
  <c r="J69" i="41" s="1" a="1"/>
  <c r="J69" i="41" s="1"/>
  <c r="E69" i="41"/>
  <c r="H68" i="41"/>
  <c r="J68" i="41" s="1" a="1"/>
  <c r="J68" i="41" s="1"/>
  <c r="E68" i="41"/>
  <c r="H67" i="41"/>
  <c r="J67" i="41" s="1" a="1"/>
  <c r="J67" i="41" s="1"/>
  <c r="E67" i="41"/>
  <c r="H66" i="41"/>
  <c r="J66" i="41" s="1" a="1"/>
  <c r="J66" i="41" s="1"/>
  <c r="E66" i="41"/>
  <c r="H65" i="41"/>
  <c r="J65" i="41" s="1" a="1"/>
  <c r="J65" i="41" s="1"/>
  <c r="E65" i="41"/>
  <c r="H64" i="41"/>
  <c r="J64" i="41" s="1" a="1"/>
  <c r="J64" i="41" s="1"/>
  <c r="E64" i="41"/>
  <c r="H63" i="41"/>
  <c r="J63" i="41" s="1" a="1"/>
  <c r="J63" i="41" s="1"/>
  <c r="E63" i="41"/>
  <c r="H62" i="41"/>
  <c r="J62" i="41" s="1" a="1"/>
  <c r="J62" i="41" s="1"/>
  <c r="E62" i="41"/>
  <c r="H61" i="41"/>
  <c r="J61" i="41" s="1" a="1"/>
  <c r="J61" i="41" s="1"/>
  <c r="E61" i="41"/>
  <c r="E73" i="41" s="1"/>
  <c r="G49" i="41"/>
  <c r="G42" i="41"/>
  <c r="H42" i="41" s="1"/>
  <c r="E42" i="41"/>
  <c r="D42" i="41"/>
  <c r="C42" i="41"/>
  <c r="G41" i="41"/>
  <c r="H41" i="41" s="1"/>
  <c r="E41" i="41"/>
  <c r="D41" i="41"/>
  <c r="C41" i="41"/>
  <c r="G40" i="41"/>
  <c r="H40" i="41" s="1"/>
  <c r="E40" i="41"/>
  <c r="D40" i="41"/>
  <c r="C40" i="41"/>
  <c r="G39" i="41"/>
  <c r="H39" i="41" s="1"/>
  <c r="E39" i="41"/>
  <c r="D39" i="41"/>
  <c r="C39" i="41"/>
  <c r="G38" i="41"/>
  <c r="H38" i="41" s="1"/>
  <c r="E38" i="41"/>
  <c r="D38" i="41"/>
  <c r="C38" i="41"/>
  <c r="E37" i="41"/>
  <c r="G37" i="41" s="1"/>
  <c r="D37" i="41"/>
  <c r="C37" i="41"/>
  <c r="E36" i="41"/>
  <c r="G36" i="41" s="1"/>
  <c r="D36" i="41"/>
  <c r="C36" i="41"/>
  <c r="E35" i="41"/>
  <c r="G35" i="41" s="1"/>
  <c r="D35" i="41"/>
  <c r="C35" i="41"/>
  <c r="E34" i="41"/>
  <c r="G34" i="41" s="1"/>
  <c r="D34" i="41"/>
  <c r="C34" i="41"/>
  <c r="G32" i="41"/>
  <c r="H32" i="41" s="1"/>
  <c r="E32" i="41"/>
  <c r="D32" i="41"/>
  <c r="C32" i="41"/>
  <c r="G31" i="41"/>
  <c r="H31" i="41" s="1"/>
  <c r="E31" i="41"/>
  <c r="D31" i="41"/>
  <c r="C31" i="41"/>
  <c r="G30" i="41"/>
  <c r="H30" i="41" s="1"/>
  <c r="E30" i="41"/>
  <c r="D30" i="41"/>
  <c r="C30" i="41"/>
  <c r="H29" i="41"/>
  <c r="G29" i="41"/>
  <c r="E29" i="41"/>
  <c r="D29" i="41"/>
  <c r="C29" i="41"/>
  <c r="H27" i="41"/>
  <c r="G27" i="41"/>
  <c r="E27" i="41"/>
  <c r="D27" i="41"/>
  <c r="C27" i="41"/>
  <c r="G26" i="41"/>
  <c r="H26" i="41" s="1"/>
  <c r="E26" i="41"/>
  <c r="D26" i="41"/>
  <c r="C26" i="41"/>
  <c r="G25" i="41"/>
  <c r="H25" i="41" s="1"/>
  <c r="E25" i="41"/>
  <c r="D25" i="41"/>
  <c r="C25" i="41"/>
  <c r="G24" i="41"/>
  <c r="H24" i="41" s="1"/>
  <c r="E24" i="41"/>
  <c r="D24" i="41"/>
  <c r="C24" i="41"/>
  <c r="G23" i="41"/>
  <c r="H23" i="41" s="1"/>
  <c r="E23" i="41"/>
  <c r="D23" i="41"/>
  <c r="C23" i="41"/>
  <c r="G22" i="41"/>
  <c r="H22" i="41" s="1"/>
  <c r="E22" i="41"/>
  <c r="D22" i="41"/>
  <c r="C22" i="41"/>
  <c r="E21" i="41"/>
  <c r="G21" i="41" s="1"/>
  <c r="D21" i="41"/>
  <c r="C21" i="41"/>
  <c r="E20" i="41"/>
  <c r="G20" i="41" s="1"/>
  <c r="D20" i="41"/>
  <c r="C20" i="41"/>
  <c r="E19" i="41"/>
  <c r="G19" i="41" s="1"/>
  <c r="D19" i="41"/>
  <c r="C19" i="41"/>
  <c r="E18" i="41"/>
  <c r="G18" i="41" s="1"/>
  <c r="D18" i="41"/>
  <c r="C18" i="41"/>
  <c r="G17" i="41"/>
  <c r="E17" i="41"/>
  <c r="D17" i="41"/>
  <c r="C17" i="41"/>
  <c r="C77" i="41" s="1"/>
  <c r="C78" i="41" s="1"/>
  <c r="D13" i="41"/>
  <c r="D12" i="41"/>
  <c r="G10" i="41"/>
  <c r="K49" i="41" s="1"/>
  <c r="D7" i="41"/>
  <c r="D9" i="41" s="1"/>
  <c r="I67" i="16"/>
  <c r="H67" i="16" s="1"/>
  <c r="I59" i="16"/>
  <c r="I51" i="16"/>
  <c r="I28" i="16"/>
  <c r="F22" i="16"/>
  <c r="F23" i="16"/>
  <c r="I23" i="16" s="1"/>
  <c r="F24" i="16"/>
  <c r="I24" i="16" s="1"/>
  <c r="F25" i="16"/>
  <c r="I25" i="16" s="1"/>
  <c r="F26" i="16"/>
  <c r="F27" i="16"/>
  <c r="I27" i="16" s="1"/>
  <c r="F28" i="16"/>
  <c r="F29" i="16"/>
  <c r="I29" i="16" s="1"/>
  <c r="F30" i="16"/>
  <c r="F31" i="16"/>
  <c r="I31" i="16" s="1"/>
  <c r="F32" i="16"/>
  <c r="I32" i="16" s="1"/>
  <c r="F33" i="16"/>
  <c r="I33" i="16" s="1"/>
  <c r="F34" i="16"/>
  <c r="I34" i="16" s="1"/>
  <c r="F35" i="16"/>
  <c r="I35" i="16" s="1"/>
  <c r="F36" i="16"/>
  <c r="F37" i="16"/>
  <c r="I37" i="16" s="1"/>
  <c r="F38" i="16"/>
  <c r="I38" i="16" s="1"/>
  <c r="F40" i="16"/>
  <c r="I40" i="16" s="1"/>
  <c r="F41" i="16"/>
  <c r="F42" i="16"/>
  <c r="I42" i="16" s="1"/>
  <c r="F43" i="16"/>
  <c r="F44" i="16"/>
  <c r="I44" i="16" s="1"/>
  <c r="F45" i="16"/>
  <c r="I45" i="16" s="1"/>
  <c r="F46" i="16"/>
  <c r="F47" i="16"/>
  <c r="I47" i="16" s="1"/>
  <c r="F48" i="16"/>
  <c r="I48" i="16" s="1"/>
  <c r="F49" i="16"/>
  <c r="I49" i="16" s="1"/>
  <c r="F50" i="16"/>
  <c r="F51" i="16"/>
  <c r="F52" i="16"/>
  <c r="I52" i="16" s="1"/>
  <c r="F53" i="16"/>
  <c r="I53" i="16" s="1"/>
  <c r="F54" i="16"/>
  <c r="I54" i="16" s="1"/>
  <c r="F55" i="16"/>
  <c r="I55" i="16" s="1"/>
  <c r="F56" i="16"/>
  <c r="I56" i="16" s="1"/>
  <c r="F57" i="16"/>
  <c r="F58" i="16"/>
  <c r="I58" i="16" s="1"/>
  <c r="F59" i="16"/>
  <c r="F60" i="16"/>
  <c r="I60" i="16" s="1"/>
  <c r="F61" i="16"/>
  <c r="I61" i="16" s="1"/>
  <c r="F62" i="16"/>
  <c r="I62" i="16" s="1"/>
  <c r="F63" i="16"/>
  <c r="I63" i="16" s="1"/>
  <c r="F64" i="16"/>
  <c r="I64" i="16" s="1"/>
  <c r="F65" i="16"/>
  <c r="I65" i="16" s="1"/>
  <c r="F66" i="16"/>
  <c r="F68" i="16"/>
  <c r="I68" i="16" s="1"/>
  <c r="F69" i="16"/>
  <c r="I69" i="16" s="1"/>
  <c r="F72" i="16"/>
  <c r="F73" i="16"/>
  <c r="I73" i="16" s="1"/>
  <c r="F74" i="16"/>
  <c r="I74" i="16" s="1"/>
  <c r="F75" i="16"/>
  <c r="I75" i="16" s="1"/>
  <c r="F76" i="16"/>
  <c r="I76" i="16" s="1"/>
  <c r="F77" i="16"/>
  <c r="F78" i="16"/>
  <c r="I78" i="16" s="1"/>
  <c r="F79" i="16"/>
  <c r="I79" i="16" s="1"/>
  <c r="F80" i="16"/>
  <c r="I80" i="16" s="1"/>
  <c r="F81" i="16"/>
  <c r="F82" i="16"/>
  <c r="I82" i="16" s="1"/>
  <c r="F84" i="16"/>
  <c r="F85" i="16"/>
  <c r="F86" i="16"/>
  <c r="F87" i="16"/>
  <c r="F88" i="16"/>
  <c r="F89" i="16"/>
  <c r="F90" i="16"/>
  <c r="F21" i="16"/>
  <c r="E50" i="16"/>
  <c r="I70" i="16"/>
  <c r="H70" i="16" s="1"/>
  <c r="C30" i="18" s="1"/>
  <c r="E57" i="16"/>
  <c r="E90" i="16"/>
  <c r="E89" i="16"/>
  <c r="E88" i="16"/>
  <c r="E87" i="16"/>
  <c r="E86" i="16"/>
  <c r="E85" i="16"/>
  <c r="E84" i="16"/>
  <c r="E46" i="16"/>
  <c r="E43" i="16"/>
  <c r="E36" i="16"/>
  <c r="E26" i="16"/>
  <c r="E22" i="16"/>
  <c r="D5" i="21"/>
  <c r="D6" i="21"/>
  <c r="D7" i="21"/>
  <c r="D8" i="21"/>
  <c r="D9" i="21"/>
  <c r="D4" i="21"/>
  <c r="E5" i="21"/>
  <c r="E6" i="21"/>
  <c r="E7" i="21"/>
  <c r="E8" i="21"/>
  <c r="E9" i="21"/>
  <c r="E4" i="21"/>
  <c r="G11" i="21"/>
  <c r="H11" i="21"/>
  <c r="I11" i="21"/>
  <c r="J11" i="21"/>
  <c r="K11" i="21"/>
  <c r="L11" i="21"/>
  <c r="M11" i="21"/>
  <c r="N11" i="21"/>
  <c r="O11" i="21"/>
  <c r="P11" i="21"/>
  <c r="Q11" i="21"/>
  <c r="F10" i="21"/>
  <c r="F11" i="21"/>
  <c r="C78" i="18"/>
  <c r="C10" i="21"/>
  <c r="Q22" i="4" a="1"/>
  <c r="E22" i="4" a="1"/>
  <c r="K22" i="4" a="1"/>
  <c r="P22" i="4" a="1"/>
  <c r="N22" i="4" a="1"/>
  <c r="H22" i="4" a="1"/>
  <c r="O22" i="4" a="1"/>
  <c r="F22" i="4" a="1"/>
  <c r="D22" i="4" a="1"/>
  <c r="I22" i="4" a="1"/>
  <c r="M22" i="4" a="1"/>
  <c r="J22" i="4" a="1"/>
  <c r="R22" i="4" a="1"/>
  <c r="G22" i="4" a="1"/>
  <c r="L22" i="4" a="1"/>
  <c r="B52" i="49" l="1"/>
  <c r="C29" i="49" s="1"/>
  <c r="C30" i="49" s="1"/>
  <c r="A53" i="49"/>
  <c r="B38" i="49"/>
  <c r="B53" i="49"/>
  <c r="B39" i="49"/>
  <c r="A54" i="49"/>
  <c r="B11" i="49"/>
  <c r="B54" i="49"/>
  <c r="B51" i="49"/>
  <c r="C77" i="45"/>
  <c r="C78" i="45" s="1"/>
  <c r="C77" i="44"/>
  <c r="C78" i="44" s="1"/>
  <c r="C77" i="46"/>
  <c r="C78" i="46" s="1"/>
  <c r="C77" i="42"/>
  <c r="C78" i="42" s="1"/>
  <c r="C77" i="47"/>
  <c r="C78" i="47" s="1"/>
  <c r="J67" i="16"/>
  <c r="K67" i="16" s="1"/>
  <c r="P22" i="4"/>
  <c r="L22" i="4"/>
  <c r="O22" i="4"/>
  <c r="K22" i="4"/>
  <c r="R22" i="4"/>
  <c r="N22" i="4"/>
  <c r="J22" i="4"/>
  <c r="Q22" i="4"/>
  <c r="M22" i="4"/>
  <c r="I22" i="4"/>
  <c r="G22" i="4"/>
  <c r="F22" i="4"/>
  <c r="E22" i="4"/>
  <c r="H22" i="4"/>
  <c r="D22" i="4"/>
  <c r="G33" i="47"/>
  <c r="H36" i="47"/>
  <c r="H20" i="47"/>
  <c r="G43" i="47"/>
  <c r="H18" i="47"/>
  <c r="H37" i="47"/>
  <c r="H17" i="47"/>
  <c r="J61" i="47" a="1"/>
  <c r="J61" i="47" s="1"/>
  <c r="J73" i="47" s="1"/>
  <c r="G44" i="47" s="1"/>
  <c r="G33" i="46"/>
  <c r="J73" i="46"/>
  <c r="G44" i="46" s="1"/>
  <c r="G43" i="46"/>
  <c r="H73" i="46"/>
  <c r="H35" i="45"/>
  <c r="H20" i="45"/>
  <c r="H18" i="45"/>
  <c r="H34" i="45"/>
  <c r="G43" i="45"/>
  <c r="H19" i="45"/>
  <c r="H37" i="45"/>
  <c r="H17" i="45"/>
  <c r="J61" i="45" a="1"/>
  <c r="J61" i="45" s="1"/>
  <c r="J73" i="45" s="1"/>
  <c r="G44" i="45" s="1"/>
  <c r="H35" i="44"/>
  <c r="H20" i="44"/>
  <c r="H36" i="44"/>
  <c r="H18" i="44"/>
  <c r="G43" i="44"/>
  <c r="H21" i="44"/>
  <c r="H19" i="44"/>
  <c r="H17" i="44"/>
  <c r="J61" i="44" a="1"/>
  <c r="J61" i="44" s="1"/>
  <c r="J73" i="44" s="1"/>
  <c r="G44" i="44" s="1"/>
  <c r="H17" i="43"/>
  <c r="H20" i="43"/>
  <c r="H18" i="43"/>
  <c r="H21" i="43"/>
  <c r="G43" i="43"/>
  <c r="K49" i="43"/>
  <c r="J61" i="43" a="1"/>
  <c r="J61" i="43" s="1"/>
  <c r="J73" i="43" s="1"/>
  <c r="G44" i="43" s="1"/>
  <c r="G33" i="43"/>
  <c r="J73" i="42"/>
  <c r="G44" i="42" s="1"/>
  <c r="G43" i="42"/>
  <c r="H34" i="42"/>
  <c r="H35" i="42"/>
  <c r="G33" i="42"/>
  <c r="H19" i="42" s="1"/>
  <c r="H73" i="42"/>
  <c r="H36" i="41"/>
  <c r="G33" i="41"/>
  <c r="J73" i="41"/>
  <c r="G44" i="41" s="1"/>
  <c r="H21" i="41"/>
  <c r="G43" i="41"/>
  <c r="E66" i="16"/>
  <c r="E77" i="16"/>
  <c r="E72" i="16"/>
  <c r="E81" i="16"/>
  <c r="E21" i="16"/>
  <c r="E30" i="16"/>
  <c r="E41" i="16"/>
  <c r="D30" i="18"/>
  <c r="J70" i="16"/>
  <c r="E36" i="49" l="1"/>
  <c r="F43" i="49" s="1"/>
  <c r="C36" i="49"/>
  <c r="B40" i="49"/>
  <c r="B41" i="49" s="1" a="1"/>
  <c r="B41" i="49" s="1"/>
  <c r="E18" i="16"/>
  <c r="G45" i="47"/>
  <c r="H33" i="47" s="1"/>
  <c r="H43" i="47"/>
  <c r="H35" i="47"/>
  <c r="H44" i="47"/>
  <c r="H19" i="47"/>
  <c r="H34" i="47"/>
  <c r="H21" i="47"/>
  <c r="H19" i="46"/>
  <c r="G45" i="46"/>
  <c r="H33" i="46"/>
  <c r="H17" i="46"/>
  <c r="H21" i="46"/>
  <c r="H35" i="46"/>
  <c r="H43" i="46"/>
  <c r="H20" i="46"/>
  <c r="H36" i="46"/>
  <c r="H34" i="46"/>
  <c r="H37" i="46"/>
  <c r="H44" i="46"/>
  <c r="H18" i="46"/>
  <c r="H43" i="45"/>
  <c r="H36" i="45"/>
  <c r="G45" i="45"/>
  <c r="H37" i="44"/>
  <c r="H34" i="44"/>
  <c r="G45" i="44"/>
  <c r="H37" i="43"/>
  <c r="H35" i="43"/>
  <c r="H34" i="43"/>
  <c r="G45" i="43"/>
  <c r="H33" i="43" s="1"/>
  <c r="H19" i="43"/>
  <c r="H36" i="43"/>
  <c r="G45" i="42"/>
  <c r="H33" i="42" s="1"/>
  <c r="H43" i="42"/>
  <c r="H36" i="42"/>
  <c r="H18" i="42"/>
  <c r="H20" i="42"/>
  <c r="H37" i="42"/>
  <c r="H21" i="42"/>
  <c r="H17" i="42"/>
  <c r="G45" i="41"/>
  <c r="H44" i="41" s="1"/>
  <c r="H33" i="41"/>
  <c r="H43" i="41"/>
  <c r="H19" i="41"/>
  <c r="H34" i="41"/>
  <c r="H35" i="41"/>
  <c r="H20" i="41"/>
  <c r="H17" i="41"/>
  <c r="H37" i="41"/>
  <c r="H18" i="41"/>
  <c r="K70" i="16"/>
  <c r="F30" i="18" s="1"/>
  <c r="E30" i="18"/>
  <c r="B12" i="4"/>
  <c r="B13" i="4"/>
  <c r="B14" i="4"/>
  <c r="B15" i="4"/>
  <c r="B16" i="4"/>
  <c r="B17" i="4"/>
  <c r="B18" i="4"/>
  <c r="B19" i="4"/>
  <c r="B20" i="4"/>
  <c r="B21" i="4"/>
  <c r="B22" i="4"/>
  <c r="B11" i="4"/>
  <c r="C18" i="29"/>
  <c r="C19" i="29"/>
  <c r="C20" i="29"/>
  <c r="C21" i="29"/>
  <c r="C22" i="29"/>
  <c r="C23" i="29"/>
  <c r="C24" i="29"/>
  <c r="C25" i="29"/>
  <c r="C26" i="29"/>
  <c r="C27" i="29"/>
  <c r="C28" i="29"/>
  <c r="C29" i="29"/>
  <c r="C30" i="29"/>
  <c r="C31" i="29"/>
  <c r="C32" i="29"/>
  <c r="C33" i="29"/>
  <c r="C34" i="29"/>
  <c r="C35" i="29"/>
  <c r="C36" i="29"/>
  <c r="C37" i="29"/>
  <c r="C38" i="29"/>
  <c r="C39" i="29"/>
  <c r="C40" i="29"/>
  <c r="C41" i="29"/>
  <c r="C42" i="29"/>
  <c r="C43" i="29"/>
  <c r="C44" i="29"/>
  <c r="C45" i="29"/>
  <c r="C46" i="29"/>
  <c r="C47" i="29"/>
  <c r="C48" i="29"/>
  <c r="C49" i="29"/>
  <c r="C50" i="29"/>
  <c r="C51" i="29"/>
  <c r="C52" i="29"/>
  <c r="C53" i="29"/>
  <c r="C54" i="29"/>
  <c r="C55" i="29"/>
  <c r="C56" i="29"/>
  <c r="C57" i="29"/>
  <c r="C58" i="29"/>
  <c r="C59" i="29"/>
  <c r="C60" i="29"/>
  <c r="C61" i="29"/>
  <c r="C62" i="29"/>
  <c r="C63" i="29"/>
  <c r="C64" i="29"/>
  <c r="C11" i="29"/>
  <c r="C12" i="29"/>
  <c r="C14" i="29"/>
  <c r="C15" i="29"/>
  <c r="C16" i="29"/>
  <c r="C17" i="29"/>
  <c r="S32" i="6"/>
  <c r="S31" i="6"/>
  <c r="S30" i="6"/>
  <c r="S29" i="6"/>
  <c r="S28" i="6"/>
  <c r="S27" i="6"/>
  <c r="S26" i="6"/>
  <c r="S25" i="6"/>
  <c r="S24" i="6"/>
  <c r="S23" i="6"/>
  <c r="S22" i="6"/>
  <c r="S21" i="6"/>
  <c r="E33" i="6"/>
  <c r="D13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C13" i="6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D80" i="4"/>
  <c r="C80" i="4"/>
  <c r="R58" i="4"/>
  <c r="R12" i="6" s="1"/>
  <c r="Q58" i="4"/>
  <c r="Q12" i="6" s="1"/>
  <c r="P58" i="4"/>
  <c r="P12" i="6" s="1"/>
  <c r="O58" i="4"/>
  <c r="O12" i="6" s="1"/>
  <c r="N58" i="4"/>
  <c r="N12" i="6" s="1"/>
  <c r="N14" i="6" s="1"/>
  <c r="N15" i="6" s="1"/>
  <c r="N16" i="6" s="1"/>
  <c r="M58" i="4"/>
  <c r="M12" i="6" s="1"/>
  <c r="L58" i="4"/>
  <c r="L12" i="6" s="1"/>
  <c r="K58" i="4"/>
  <c r="K12" i="6" s="1"/>
  <c r="J58" i="4"/>
  <c r="J12" i="6" s="1"/>
  <c r="I58" i="4"/>
  <c r="I12" i="6" s="1"/>
  <c r="H58" i="4"/>
  <c r="H12" i="6" s="1"/>
  <c r="G58" i="4"/>
  <c r="G12" i="6" s="1"/>
  <c r="G14" i="6" s="1"/>
  <c r="F58" i="4"/>
  <c r="F12" i="6" s="1"/>
  <c r="F14" i="6" s="1"/>
  <c r="E58" i="4"/>
  <c r="E12" i="6" s="1"/>
  <c r="D58" i="4"/>
  <c r="D12" i="6" s="1"/>
  <c r="C58" i="4"/>
  <c r="C12" i="6" s="1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D45" i="4"/>
  <c r="E45" i="4"/>
  <c r="F45" i="4"/>
  <c r="G45" i="4"/>
  <c r="H45" i="4"/>
  <c r="I45" i="4"/>
  <c r="J45" i="4"/>
  <c r="K45" i="4"/>
  <c r="L45" i="4"/>
  <c r="M45" i="4"/>
  <c r="N45" i="4"/>
  <c r="O45" i="4"/>
  <c r="P45" i="4"/>
  <c r="Q45" i="4"/>
  <c r="R45" i="4"/>
  <c r="C45" i="4"/>
  <c r="B7" i="6"/>
  <c r="B8" i="6"/>
  <c r="B6" i="6"/>
  <c r="B5" i="6"/>
  <c r="B4" i="6"/>
  <c r="B10" i="4"/>
  <c r="B9" i="4"/>
  <c r="B8" i="4"/>
  <c r="B7" i="4"/>
  <c r="B6" i="4"/>
  <c r="B5" i="4"/>
  <c r="B4" i="4"/>
  <c r="D15" i="32"/>
  <c r="D16" i="32"/>
  <c r="D17" i="32"/>
  <c r="C15" i="32"/>
  <c r="C16" i="32"/>
  <c r="C17" i="32"/>
  <c r="B15" i="32"/>
  <c r="B16" i="32"/>
  <c r="B17" i="32"/>
  <c r="T71" i="4"/>
  <c r="T70" i="4"/>
  <c r="T96" i="4"/>
  <c r="T95" i="4"/>
  <c r="U91" i="4"/>
  <c r="T91" i="4"/>
  <c r="U90" i="4"/>
  <c r="T90" i="4"/>
  <c r="T67" i="4"/>
  <c r="T68" i="4"/>
  <c r="T69" i="4"/>
  <c r="T65" i="4"/>
  <c r="T83" i="4"/>
  <c r="T82" i="4"/>
  <c r="U78" i="4"/>
  <c r="T78" i="4"/>
  <c r="U77" i="4"/>
  <c r="T77" i="4"/>
  <c r="T61" i="4"/>
  <c r="T60" i="4"/>
  <c r="U56" i="4"/>
  <c r="T56" i="4"/>
  <c r="U55" i="4"/>
  <c r="T55" i="4"/>
  <c r="T48" i="4"/>
  <c r="T47" i="4"/>
  <c r="U43" i="4"/>
  <c r="T43" i="4"/>
  <c r="U42" i="4"/>
  <c r="T42" i="4"/>
  <c r="U30" i="4"/>
  <c r="U29" i="4"/>
  <c r="I86" i="4"/>
  <c r="A86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C92" i="4"/>
  <c r="C25" i="5"/>
  <c r="D25" i="5"/>
  <c r="E25" i="5"/>
  <c r="G25" i="5"/>
  <c r="H25" i="5" s="1"/>
  <c r="C26" i="5"/>
  <c r="D26" i="5"/>
  <c r="E26" i="5"/>
  <c r="G26" i="5"/>
  <c r="H26" i="5" s="1"/>
  <c r="C27" i="5"/>
  <c r="D27" i="5"/>
  <c r="E27" i="5"/>
  <c r="G27" i="5"/>
  <c r="H27" i="5" s="1"/>
  <c r="G32" i="5"/>
  <c r="H32" i="5" s="1"/>
  <c r="G31" i="5"/>
  <c r="H31" i="5" s="1"/>
  <c r="G30" i="5"/>
  <c r="H30" i="5" s="1"/>
  <c r="G29" i="5"/>
  <c r="H29" i="5" s="1"/>
  <c r="G24" i="5"/>
  <c r="H24" i="5" s="1"/>
  <c r="G23" i="5"/>
  <c r="H23" i="5" s="1"/>
  <c r="G22" i="5"/>
  <c r="H22" i="5" s="1"/>
  <c r="G42" i="5"/>
  <c r="H42" i="5" s="1"/>
  <c r="G41" i="5"/>
  <c r="H41" i="5" s="1"/>
  <c r="G40" i="5"/>
  <c r="H40" i="5" s="1"/>
  <c r="G39" i="5"/>
  <c r="H39" i="5" s="1"/>
  <c r="G38" i="5"/>
  <c r="H38" i="5" s="1"/>
  <c r="E42" i="5"/>
  <c r="D42" i="5"/>
  <c r="C42" i="5"/>
  <c r="E41" i="5"/>
  <c r="D41" i="5"/>
  <c r="C41" i="5"/>
  <c r="E40" i="5"/>
  <c r="D40" i="5"/>
  <c r="C40" i="5"/>
  <c r="E39" i="5"/>
  <c r="D39" i="5"/>
  <c r="C39" i="5"/>
  <c r="E38" i="5"/>
  <c r="D38" i="5"/>
  <c r="C38" i="5"/>
  <c r="E37" i="5"/>
  <c r="G37" i="5" s="1"/>
  <c r="D37" i="5"/>
  <c r="C37" i="5"/>
  <c r="E36" i="5"/>
  <c r="G36" i="5" s="1"/>
  <c r="D36" i="5"/>
  <c r="C36" i="5"/>
  <c r="E35" i="5"/>
  <c r="G35" i="5" s="1"/>
  <c r="D35" i="5"/>
  <c r="C35" i="5"/>
  <c r="E34" i="5"/>
  <c r="G34" i="5" s="1"/>
  <c r="D34" i="5"/>
  <c r="C34" i="5"/>
  <c r="E32" i="5"/>
  <c r="D32" i="5"/>
  <c r="C32" i="5"/>
  <c r="E31" i="5"/>
  <c r="D31" i="5"/>
  <c r="C31" i="5"/>
  <c r="E30" i="5"/>
  <c r="D30" i="5"/>
  <c r="C30" i="5"/>
  <c r="E29" i="5"/>
  <c r="D29" i="5"/>
  <c r="C29" i="5"/>
  <c r="E24" i="5"/>
  <c r="D24" i="5"/>
  <c r="C24" i="5"/>
  <c r="E23" i="5"/>
  <c r="D23" i="5"/>
  <c r="C23" i="5"/>
  <c r="E22" i="5"/>
  <c r="D22" i="5"/>
  <c r="C22" i="5"/>
  <c r="E21" i="5"/>
  <c r="G21" i="5" s="1"/>
  <c r="D21" i="5"/>
  <c r="C21" i="5"/>
  <c r="E20" i="5"/>
  <c r="G20" i="5" s="1"/>
  <c r="D20" i="5"/>
  <c r="E19" i="5"/>
  <c r="G19" i="5" s="1"/>
  <c r="D19" i="5"/>
  <c r="C19" i="5"/>
  <c r="E18" i="5"/>
  <c r="G18" i="5" s="1"/>
  <c r="D18" i="5"/>
  <c r="C18" i="5"/>
  <c r="I33" i="6"/>
  <c r="C33" i="6"/>
  <c r="H24" i="16"/>
  <c r="J56" i="16"/>
  <c r="P17" i="4" a="1"/>
  <c r="J16" i="4" a="1"/>
  <c r="R10" i="4" a="1"/>
  <c r="J5" i="4" a="1"/>
  <c r="L21" i="4" a="1"/>
  <c r="K4" i="4" a="1"/>
  <c r="J4" i="4" a="1"/>
  <c r="O11" i="4" a="1"/>
  <c r="R14" i="4" a="1"/>
  <c r="M17" i="4" a="1"/>
  <c r="L5" i="4" a="1"/>
  <c r="R13" i="4" a="1"/>
  <c r="L14" i="4" a="1"/>
  <c r="H7" i="6" a="1"/>
  <c r="R8" i="4" a="1"/>
  <c r="I8" i="4" a="1"/>
  <c r="D17" i="4" a="1"/>
  <c r="R15" i="4" a="1"/>
  <c r="K10" i="4" a="1"/>
  <c r="N8" i="4" a="1"/>
  <c r="J6" i="4" a="1"/>
  <c r="O19" i="4" a="1"/>
  <c r="R9" i="4" a="1"/>
  <c r="N15" i="4" a="1"/>
  <c r="C7" i="6" a="1"/>
  <c r="I18" i="4" a="1"/>
  <c r="F7" i="6" a="1"/>
  <c r="P5" i="4" a="1"/>
  <c r="P13" i="4" a="1"/>
  <c r="Q13" i="4" a="1"/>
  <c r="N6" i="4" a="1"/>
  <c r="J19" i="4" a="1"/>
  <c r="K13" i="4" a="1"/>
  <c r="N10" i="4" a="1"/>
  <c r="C22" i="4" a="1"/>
  <c r="P8" i="4" a="1"/>
  <c r="N13" i="4" a="1"/>
  <c r="O7" i="4" a="1"/>
  <c r="D18" i="4" a="1"/>
  <c r="I6" i="6" a="1"/>
  <c r="Q7" i="4" a="1"/>
  <c r="L17" i="4" a="1"/>
  <c r="N4" i="4" a="1"/>
  <c r="N5" i="4" a="1"/>
  <c r="R6" i="4" a="1"/>
  <c r="K6" i="4" a="1"/>
  <c r="Q20" i="4" a="1"/>
  <c r="M10" i="4" a="1"/>
  <c r="I9" i="4" a="1"/>
  <c r="J9" i="4" a="1"/>
  <c r="R11" i="4" a="1"/>
  <c r="M5" i="4" a="1"/>
  <c r="P4" i="4" a="1"/>
  <c r="J5" i="6" a="1"/>
  <c r="L16" i="4" a="1"/>
  <c r="M6" i="4" a="1"/>
  <c r="J18" i="4" a="1"/>
  <c r="K6" i="6" a="1"/>
  <c r="I4" i="4" a="1"/>
  <c r="Q10" i="4" a="1"/>
  <c r="J6" i="6" a="1"/>
  <c r="Q16" i="4" a="1"/>
  <c r="L11" i="4" a="1"/>
  <c r="K12" i="4" a="1"/>
  <c r="P11" i="4" a="1"/>
  <c r="K9" i="4" a="1"/>
  <c r="P15" i="4" a="1"/>
  <c r="R17" i="4" a="1"/>
  <c r="N11" i="4" a="1"/>
  <c r="P12" i="4" a="1"/>
  <c r="R5" i="4" a="1"/>
  <c r="M15" i="4" a="1"/>
  <c r="M21" i="4" a="1"/>
  <c r="Q5" i="4" a="1"/>
  <c r="Q12" i="4" a="1"/>
  <c r="O6" i="6" a="1"/>
  <c r="Q5" i="6" a="1"/>
  <c r="O14" i="4" a="1"/>
  <c r="Q17" i="4" a="1"/>
  <c r="L8" i="4" a="1"/>
  <c r="K21" i="4" a="1"/>
  <c r="Q21" i="4" a="1"/>
  <c r="R16" i="4" a="1"/>
  <c r="Q15" i="4" a="1"/>
  <c r="I10" i="4" a="1"/>
  <c r="O4" i="4" a="1"/>
  <c r="N17" i="4" a="1"/>
  <c r="J8" i="4" a="1"/>
  <c r="O13" i="4" a="1"/>
  <c r="N16" i="4" a="1"/>
  <c r="K8" i="4" a="1"/>
  <c r="P10" i="4" a="1"/>
  <c r="K5" i="4" a="1"/>
  <c r="K11" i="4" a="1"/>
  <c r="M14" i="4" a="1"/>
  <c r="E17" i="4" a="1"/>
  <c r="N9" i="4" a="1"/>
  <c r="L13" i="4" a="1"/>
  <c r="M8" i="4" a="1"/>
  <c r="R21" i="4" a="1"/>
  <c r="N7" i="4" a="1"/>
  <c r="K7" i="4" a="1"/>
  <c r="O6" i="4" a="1"/>
  <c r="K19" i="4" a="1"/>
  <c r="H10" i="4" a="1"/>
  <c r="P14" i="4" a="1"/>
  <c r="O5" i="6" a="1"/>
  <c r="F10" i="4" a="1"/>
  <c r="L19" i="4" a="1"/>
  <c r="K7" i="6" a="1"/>
  <c r="P19" i="4" a="1"/>
  <c r="G10" i="4" a="1"/>
  <c r="E7" i="6" a="1"/>
  <c r="L4" i="4" a="1"/>
  <c r="M12" i="4" a="1"/>
  <c r="Q4" i="4" a="1"/>
  <c r="R5" i="6" a="1"/>
  <c r="G19" i="4" a="1"/>
  <c r="F19" i="4" a="1"/>
  <c r="O18" i="4" a="1"/>
  <c r="R7" i="4" a="1"/>
  <c r="L7" i="4" a="1"/>
  <c r="P6" i="4" a="1"/>
  <c r="L18" i="4" a="1"/>
  <c r="I17" i="4" a="1"/>
  <c r="M5" i="6" a="1"/>
  <c r="J17" i="4" a="1"/>
  <c r="R12" i="4" a="1"/>
  <c r="G7" i="6" a="1"/>
  <c r="K5" i="6" a="1"/>
  <c r="I6" i="4" a="1"/>
  <c r="M16" i="4" a="1"/>
  <c r="L6" i="4" a="1"/>
  <c r="O17" i="4" a="1"/>
  <c r="K17" i="4" a="1"/>
  <c r="N19" i="4" a="1"/>
  <c r="H17" i="4" a="1"/>
  <c r="C10" i="4" a="1"/>
  <c r="O20" i="4" a="1"/>
  <c r="E19" i="4" a="1"/>
  <c r="M9" i="4" a="1"/>
  <c r="K18" i="4" a="1"/>
  <c r="I5" i="6" a="1"/>
  <c r="J7" i="6" a="1"/>
  <c r="N18" i="4" a="1"/>
  <c r="O10" i="4" a="1"/>
  <c r="I16" i="4" a="1"/>
  <c r="G6" i="6" a="1"/>
  <c r="E6" i="6" a="1"/>
  <c r="M18" i="4" a="1"/>
  <c r="R20" i="4" a="1"/>
  <c r="O8" i="4" a="1"/>
  <c r="D6" i="6" a="1"/>
  <c r="Q11" i="4" a="1"/>
  <c r="O9" i="4" a="1"/>
  <c r="I7" i="6" a="1"/>
  <c r="N14" i="4" a="1"/>
  <c r="J7" i="4" a="1"/>
  <c r="N6" i="6" a="1"/>
  <c r="K16" i="4" a="1"/>
  <c r="P7" i="4" a="1"/>
  <c r="N12" i="4" a="1"/>
  <c r="H6" i="6" a="1"/>
  <c r="M11" i="4" a="1"/>
  <c r="R4" i="4" a="1"/>
  <c r="N20" i="4" a="1"/>
  <c r="H19" i="4" a="1"/>
  <c r="N21" i="4" a="1"/>
  <c r="Q14" i="4" a="1"/>
  <c r="L7" i="6" a="1"/>
  <c r="M19" i="4" a="1"/>
  <c r="J10" i="4" a="1"/>
  <c r="D7" i="6" a="1"/>
  <c r="P18" i="4" a="1"/>
  <c r="L9" i="4" a="1"/>
  <c r="L10" i="4" a="1"/>
  <c r="R18" i="4" a="1"/>
  <c r="K20" i="4" a="1"/>
  <c r="D10" i="4" a="1"/>
  <c r="Q9" i="4" a="1"/>
  <c r="I19" i="4" a="1"/>
  <c r="L15" i="4" a="1"/>
  <c r="P6" i="6" a="1"/>
  <c r="O15" i="4" a="1"/>
  <c r="P5" i="6" a="1"/>
  <c r="L20" i="4" a="1"/>
  <c r="Q19" i="4" a="1"/>
  <c r="M7" i="4" a="1"/>
  <c r="N5" i="6" a="1"/>
  <c r="I5" i="4" a="1"/>
  <c r="R6" i="6" a="1"/>
  <c r="E10" i="4" a="1"/>
  <c r="D19" i="4" a="1"/>
  <c r="M6" i="6" a="1"/>
  <c r="P20" i="4" a="1"/>
  <c r="K15" i="4" a="1"/>
  <c r="M13" i="4" a="1"/>
  <c r="R19" i="4" a="1"/>
  <c r="O12" i="4" a="1"/>
  <c r="O16" i="4" a="1"/>
  <c r="Q6" i="6" a="1"/>
  <c r="K14" i="4" a="1"/>
  <c r="L12" i="4" a="1"/>
  <c r="P9" i="4" a="1"/>
  <c r="P16" i="4" a="1"/>
  <c r="O21" i="4" a="1"/>
  <c r="Q18" i="4" a="1"/>
  <c r="L6" i="6" a="1"/>
  <c r="F6" i="6" a="1"/>
  <c r="M20" i="4" a="1"/>
  <c r="L5" i="6" a="1"/>
  <c r="Q8" i="4" a="1"/>
  <c r="Q6" i="4" a="1"/>
  <c r="O5" i="4" a="1"/>
  <c r="I7" i="4" a="1"/>
  <c r="M4" i="4" a="1"/>
  <c r="P21" i="4" a="1"/>
  <c r="F45" i="49" l="1"/>
  <c r="F44" i="49"/>
  <c r="F46" i="49" s="1"/>
  <c r="C43" i="49"/>
  <c r="H44" i="42"/>
  <c r="H14" i="6"/>
  <c r="P14" i="6"/>
  <c r="P15" i="6" s="1"/>
  <c r="P16" i="6" s="1"/>
  <c r="N43" i="6" a="1"/>
  <c r="N43" i="6" s="1"/>
  <c r="N42" i="6" a="1"/>
  <c r="N42" i="6" s="1"/>
  <c r="N38" i="6" a="1"/>
  <c r="N38" i="6" s="1"/>
  <c r="N44" i="6" a="1"/>
  <c r="N44" i="6" s="1"/>
  <c r="N39" i="6" a="1"/>
  <c r="N39" i="6" s="1"/>
  <c r="N47" i="6" a="1"/>
  <c r="N47" i="6" s="1"/>
  <c r="N40" i="6" a="1"/>
  <c r="N40" i="6" s="1"/>
  <c r="N48" i="6" a="1"/>
  <c r="N48" i="6" s="1"/>
  <c r="N45" i="6" a="1"/>
  <c r="N45" i="6" s="1"/>
  <c r="N41" i="6" a="1"/>
  <c r="N41" i="6" s="1"/>
  <c r="N49" i="6" a="1"/>
  <c r="N49" i="6" s="1"/>
  <c r="N46" i="6" a="1"/>
  <c r="N46" i="6" s="1"/>
  <c r="J14" i="6"/>
  <c r="R14" i="6"/>
  <c r="R15" i="6" s="1"/>
  <c r="R16" i="6" s="1"/>
  <c r="G46" i="47"/>
  <c r="H45" i="47"/>
  <c r="G46" i="46"/>
  <c r="H45" i="46"/>
  <c r="G46" i="45"/>
  <c r="H45" i="45"/>
  <c r="H33" i="45"/>
  <c r="H44" i="45"/>
  <c r="G46" i="44"/>
  <c r="H45" i="44"/>
  <c r="H33" i="44"/>
  <c r="H44" i="44"/>
  <c r="H43" i="44"/>
  <c r="G46" i="43"/>
  <c r="H45" i="43"/>
  <c r="H44" i="43"/>
  <c r="H43" i="43"/>
  <c r="G46" i="42"/>
  <c r="H45" i="42"/>
  <c r="G46" i="41"/>
  <c r="H45" i="41"/>
  <c r="E68" i="18"/>
  <c r="D10" i="21"/>
  <c r="D11" i="21" s="1"/>
  <c r="K14" i="6"/>
  <c r="O14" i="6"/>
  <c r="O15" i="6" s="1"/>
  <c r="O16" i="6" s="1"/>
  <c r="M14" i="6"/>
  <c r="M15" i="6" s="1"/>
  <c r="M16" i="6" s="1"/>
  <c r="I14" i="6"/>
  <c r="Q14" i="6"/>
  <c r="Q15" i="6" s="1"/>
  <c r="Q16" i="6" s="1"/>
  <c r="T13" i="6"/>
  <c r="J19" i="4"/>
  <c r="J94" i="4" s="1"/>
  <c r="Q19" i="4"/>
  <c r="Q94" i="4" s="1"/>
  <c r="M19" i="4"/>
  <c r="M94" i="4" s="1"/>
  <c r="I19" i="4"/>
  <c r="I94" i="4" s="1"/>
  <c r="E19" i="4"/>
  <c r="E94" i="4" s="1"/>
  <c r="F19" i="4"/>
  <c r="F94" i="4" s="1"/>
  <c r="N19" i="4"/>
  <c r="N94" i="4" s="1"/>
  <c r="P19" i="4"/>
  <c r="P94" i="4" s="1"/>
  <c r="L19" i="4"/>
  <c r="L94" i="4" s="1"/>
  <c r="H19" i="4"/>
  <c r="H94" i="4" s="1"/>
  <c r="D19" i="4"/>
  <c r="D94" i="4" s="1"/>
  <c r="R19" i="4"/>
  <c r="R94" i="4" s="1"/>
  <c r="O19" i="4"/>
  <c r="O94" i="4" s="1"/>
  <c r="K19" i="4"/>
  <c r="K94" i="4" s="1"/>
  <c r="G19" i="4"/>
  <c r="G94" i="4" s="1"/>
  <c r="C14" i="6"/>
  <c r="T12" i="6"/>
  <c r="C20" i="5"/>
  <c r="L14" i="6"/>
  <c r="E14" i="6"/>
  <c r="D14" i="6"/>
  <c r="V90" i="4"/>
  <c r="V42" i="4"/>
  <c r="G7" i="6"/>
  <c r="G15" i="6" s="1"/>
  <c r="G16" i="6" s="1"/>
  <c r="H6" i="6"/>
  <c r="J7" i="6"/>
  <c r="G6" i="6"/>
  <c r="K7" i="6"/>
  <c r="L6" i="6"/>
  <c r="F7" i="6"/>
  <c r="F15" i="6" s="1"/>
  <c r="F16" i="6" s="1"/>
  <c r="K6" i="6"/>
  <c r="I7" i="6"/>
  <c r="I15" i="6" s="1"/>
  <c r="I16" i="6" s="1"/>
  <c r="E7" i="6"/>
  <c r="J6" i="6"/>
  <c r="F6" i="6"/>
  <c r="D6" i="6"/>
  <c r="L7" i="6"/>
  <c r="H7" i="6"/>
  <c r="H15" i="6" s="1"/>
  <c r="H16" i="6" s="1"/>
  <c r="D7" i="6"/>
  <c r="I6" i="6"/>
  <c r="E6" i="6"/>
  <c r="C7" i="6"/>
  <c r="R6" i="6"/>
  <c r="N6" i="6"/>
  <c r="P5" i="6"/>
  <c r="L5" i="6"/>
  <c r="Q6" i="6"/>
  <c r="M6" i="6"/>
  <c r="O5" i="6"/>
  <c r="K5" i="6"/>
  <c r="P6" i="6"/>
  <c r="R5" i="6"/>
  <c r="N5" i="6"/>
  <c r="J5" i="6"/>
  <c r="O6" i="6"/>
  <c r="Q5" i="6"/>
  <c r="M5" i="6"/>
  <c r="I5" i="6"/>
  <c r="C22" i="4"/>
  <c r="G43" i="5"/>
  <c r="U89" i="4"/>
  <c r="F10" i="4"/>
  <c r="J10" i="4"/>
  <c r="Q10" i="4"/>
  <c r="M10" i="4"/>
  <c r="I10" i="4"/>
  <c r="E10" i="4"/>
  <c r="R10" i="4"/>
  <c r="N10" i="4"/>
  <c r="P10" i="4"/>
  <c r="L10" i="4"/>
  <c r="H10" i="4"/>
  <c r="D10" i="4"/>
  <c r="O10" i="4"/>
  <c r="K10" i="4"/>
  <c r="G10" i="4"/>
  <c r="C10" i="4"/>
  <c r="V91" i="4"/>
  <c r="V78" i="4"/>
  <c r="P21" i="4"/>
  <c r="L21" i="4"/>
  <c r="O21" i="4"/>
  <c r="K21" i="4"/>
  <c r="R21" i="4"/>
  <c r="N21" i="4"/>
  <c r="Q21" i="4"/>
  <c r="M21" i="4"/>
  <c r="V77" i="4"/>
  <c r="U76" i="4"/>
  <c r="V55" i="4"/>
  <c r="U41" i="4"/>
  <c r="U54" i="4"/>
  <c r="V56" i="4"/>
  <c r="V43" i="4"/>
  <c r="U28" i="4"/>
  <c r="R11" i="4"/>
  <c r="N11" i="4"/>
  <c r="Q11" i="4"/>
  <c r="M11" i="4"/>
  <c r="O11" i="4"/>
  <c r="K11" i="4"/>
  <c r="P11" i="4"/>
  <c r="L11" i="4"/>
  <c r="L18" i="4"/>
  <c r="L16" i="4"/>
  <c r="R13" i="4"/>
  <c r="L12" i="4"/>
  <c r="R7" i="4"/>
  <c r="J7" i="4"/>
  <c r="L4" i="4"/>
  <c r="O20" i="4"/>
  <c r="K20" i="4"/>
  <c r="M18" i="4"/>
  <c r="I18" i="4"/>
  <c r="O17" i="4"/>
  <c r="K17" i="4"/>
  <c r="Q16" i="4"/>
  <c r="M16" i="4"/>
  <c r="I16" i="4"/>
  <c r="O15" i="4"/>
  <c r="K15" i="4"/>
  <c r="Q14" i="4"/>
  <c r="M14" i="4"/>
  <c r="O13" i="4"/>
  <c r="K13" i="4"/>
  <c r="Q12" i="4"/>
  <c r="M12" i="4"/>
  <c r="O9" i="4"/>
  <c r="K9" i="4"/>
  <c r="Q8" i="4"/>
  <c r="M8" i="4"/>
  <c r="I8" i="4"/>
  <c r="O7" i="4"/>
  <c r="K7" i="4"/>
  <c r="Q6" i="4"/>
  <c r="M6" i="4"/>
  <c r="I6" i="4"/>
  <c r="O5" i="4"/>
  <c r="K5" i="4"/>
  <c r="Q4" i="4"/>
  <c r="M4" i="4"/>
  <c r="I4" i="4"/>
  <c r="R20" i="4"/>
  <c r="N17" i="4"/>
  <c r="P14" i="4"/>
  <c r="N9" i="4"/>
  <c r="N5" i="4"/>
  <c r="O16" i="4"/>
  <c r="N20" i="4"/>
  <c r="J17" i="4"/>
  <c r="N15" i="4"/>
  <c r="L8" i="4"/>
  <c r="J5" i="4"/>
  <c r="M20" i="4"/>
  <c r="K18" i="4"/>
  <c r="I17" i="4"/>
  <c r="M15" i="4"/>
  <c r="K14" i="4"/>
  <c r="M9" i="4"/>
  <c r="O4" i="4"/>
  <c r="P18" i="4"/>
  <c r="P16" i="4"/>
  <c r="L14" i="4"/>
  <c r="R9" i="4"/>
  <c r="N7" i="4"/>
  <c r="P6" i="4"/>
  <c r="P4" i="4"/>
  <c r="Q20" i="4"/>
  <c r="Q17" i="4"/>
  <c r="K16" i="4"/>
  <c r="O14" i="4"/>
  <c r="Q13" i="4"/>
  <c r="O12" i="4"/>
  <c r="K12" i="4"/>
  <c r="I9" i="4"/>
  <c r="O8" i="4"/>
  <c r="K8" i="4"/>
  <c r="Q7" i="4"/>
  <c r="M7" i="4"/>
  <c r="I7" i="4"/>
  <c r="O6" i="4"/>
  <c r="K6" i="4"/>
  <c r="Q5" i="4"/>
  <c r="M5" i="4"/>
  <c r="K4" i="4"/>
  <c r="P20" i="4"/>
  <c r="L20" i="4"/>
  <c r="R18" i="4"/>
  <c r="N18" i="4"/>
  <c r="J18" i="4"/>
  <c r="P17" i="4"/>
  <c r="L17" i="4"/>
  <c r="R16" i="4"/>
  <c r="N16" i="4"/>
  <c r="J16" i="4"/>
  <c r="P15" i="4"/>
  <c r="L15" i="4"/>
  <c r="R14" i="4"/>
  <c r="N14" i="4"/>
  <c r="P13" i="4"/>
  <c r="L13" i="4"/>
  <c r="R12" i="4"/>
  <c r="N12" i="4"/>
  <c r="P9" i="4"/>
  <c r="L9" i="4"/>
  <c r="R8" i="4"/>
  <c r="N8" i="4"/>
  <c r="J8" i="4"/>
  <c r="P7" i="4"/>
  <c r="L7" i="4"/>
  <c r="R6" i="4"/>
  <c r="N6" i="4"/>
  <c r="J6" i="4"/>
  <c r="P5" i="4"/>
  <c r="L5" i="4"/>
  <c r="R4" i="4"/>
  <c r="N4" i="4"/>
  <c r="J4" i="4"/>
  <c r="R17" i="4"/>
  <c r="P12" i="4"/>
  <c r="P8" i="4"/>
  <c r="R5" i="4"/>
  <c r="O18" i="4"/>
  <c r="M17" i="4"/>
  <c r="Q15" i="4"/>
  <c r="M13" i="4"/>
  <c r="Q9" i="4"/>
  <c r="I5" i="4"/>
  <c r="R15" i="4"/>
  <c r="N13" i="4"/>
  <c r="J9" i="4"/>
  <c r="L6" i="4"/>
  <c r="Q18" i="4"/>
  <c r="D18" i="4"/>
  <c r="E17" i="4"/>
  <c r="H17" i="4"/>
  <c r="D17" i="4"/>
  <c r="D33" i="6"/>
  <c r="D34" i="6" s="1"/>
  <c r="E34" i="6"/>
  <c r="F33" i="6"/>
  <c r="F34" i="6" s="1"/>
  <c r="G33" i="6"/>
  <c r="G34" i="6" s="1"/>
  <c r="H33" i="6"/>
  <c r="H34" i="6" s="1"/>
  <c r="I34" i="6"/>
  <c r="J33" i="6"/>
  <c r="J34" i="6" s="1"/>
  <c r="K33" i="6"/>
  <c r="K34" i="6" s="1"/>
  <c r="L33" i="6"/>
  <c r="L34" i="6" s="1"/>
  <c r="M33" i="6"/>
  <c r="M34" i="6" s="1"/>
  <c r="N33" i="6"/>
  <c r="N34" i="6" s="1"/>
  <c r="O33" i="6"/>
  <c r="O34" i="6" s="1"/>
  <c r="P33" i="6"/>
  <c r="P34" i="6" s="1"/>
  <c r="Q33" i="6"/>
  <c r="Q34" i="6" s="1"/>
  <c r="R33" i="6"/>
  <c r="R34" i="6" s="1"/>
  <c r="C34" i="6"/>
  <c r="F5" i="6" a="1"/>
  <c r="F17" i="4" a="1"/>
  <c r="F18" i="4" a="1"/>
  <c r="H11" i="4" a="1"/>
  <c r="F4" i="6" a="1"/>
  <c r="H5" i="6" a="1"/>
  <c r="I11" i="4" a="1"/>
  <c r="K8" i="6" a="1"/>
  <c r="E4" i="6" a="1"/>
  <c r="F16" i="4" a="1"/>
  <c r="D11" i="4" a="1"/>
  <c r="G4" i="6" a="1"/>
  <c r="J11" i="4" a="1"/>
  <c r="G17" i="4" a="1"/>
  <c r="E5" i="6" a="1"/>
  <c r="J8" i="6" a="1"/>
  <c r="G18" i="4" a="1"/>
  <c r="G5" i="6" a="1"/>
  <c r="D5" i="6" a="1"/>
  <c r="F11" i="4" a="1"/>
  <c r="H18" i="4" a="1"/>
  <c r="D4" i="6" a="1"/>
  <c r="C5" i="6" a="1"/>
  <c r="G11" i="4" a="1"/>
  <c r="E11" i="4" a="1"/>
  <c r="E18" i="4" a="1"/>
  <c r="C6" i="6" a="1"/>
  <c r="H4" i="6" a="1"/>
  <c r="I8" i="6" a="1"/>
  <c r="C45" i="49" l="1"/>
  <c r="C44" i="49"/>
  <c r="E18" i="4"/>
  <c r="J15" i="6"/>
  <c r="R49" i="6" a="1"/>
  <c r="R49" i="6" s="1"/>
  <c r="R48" i="6" a="1"/>
  <c r="R48" i="6" s="1"/>
  <c r="R47" i="6" a="1"/>
  <c r="R47" i="6" s="1"/>
  <c r="R46" i="6" a="1"/>
  <c r="R46" i="6" s="1"/>
  <c r="R45" i="6" a="1"/>
  <c r="R45" i="6" s="1"/>
  <c r="R41" i="6" a="1"/>
  <c r="R41" i="6" s="1"/>
  <c r="R40" i="6" a="1"/>
  <c r="R40" i="6" s="1"/>
  <c r="R42" i="6" a="1"/>
  <c r="R42" i="6" s="1"/>
  <c r="R44" i="6" a="1"/>
  <c r="R44" i="6" s="1"/>
  <c r="R43" i="6" a="1"/>
  <c r="R43" i="6" s="1"/>
  <c r="R38" i="6" a="1"/>
  <c r="R38" i="6" s="1"/>
  <c r="R39" i="6" a="1"/>
  <c r="R39" i="6" s="1"/>
  <c r="Q43" i="6" a="1"/>
  <c r="Q43" i="6" s="1"/>
  <c r="Q39" i="6" a="1"/>
  <c r="Q39" i="6" s="1"/>
  <c r="Q45" i="6" a="1"/>
  <c r="Q45" i="6" s="1"/>
  <c r="Q41" i="6" a="1"/>
  <c r="Q41" i="6" s="1"/>
  <c r="Q38" i="6" a="1"/>
  <c r="Q38" i="6" s="1"/>
  <c r="Q49" i="6" a="1"/>
  <c r="Q49" i="6" s="1"/>
  <c r="Q48" i="6" a="1"/>
  <c r="Q48" i="6" s="1"/>
  <c r="Q47" i="6" a="1"/>
  <c r="Q47" i="6" s="1"/>
  <c r="Q46" i="6" a="1"/>
  <c r="Q46" i="6" s="1"/>
  <c r="Q42" i="6" a="1"/>
  <c r="Q42" i="6" s="1"/>
  <c r="Q44" i="6" a="1"/>
  <c r="Q44" i="6" s="1"/>
  <c r="Q40" i="6" a="1"/>
  <c r="Q40" i="6" s="1"/>
  <c r="M43" i="6" a="1"/>
  <c r="M43" i="6" s="1"/>
  <c r="M45" i="6" a="1"/>
  <c r="M45" i="6" s="1"/>
  <c r="M38" i="6" a="1"/>
  <c r="M38" i="6" s="1"/>
  <c r="M41" i="6" a="1"/>
  <c r="M41" i="6" s="1"/>
  <c r="M44" i="6" a="1"/>
  <c r="M44" i="6" s="1"/>
  <c r="M39" i="6" a="1"/>
  <c r="M39" i="6" s="1"/>
  <c r="M40" i="6" a="1"/>
  <c r="M40" i="6" s="1"/>
  <c r="M49" i="6" a="1"/>
  <c r="M49" i="6" s="1"/>
  <c r="M48" i="6" a="1"/>
  <c r="M48" i="6" s="1"/>
  <c r="M47" i="6" a="1"/>
  <c r="M47" i="6" s="1"/>
  <c r="M46" i="6" a="1"/>
  <c r="M46" i="6" s="1"/>
  <c r="M42" i="6" a="1"/>
  <c r="M42" i="6" s="1"/>
  <c r="P44" i="6" a="1"/>
  <c r="P44" i="6" s="1"/>
  <c r="P40" i="6" a="1"/>
  <c r="P40" i="6" s="1"/>
  <c r="P43" i="6" a="1"/>
  <c r="P43" i="6" s="1"/>
  <c r="P45" i="6" a="1"/>
  <c r="P45" i="6" s="1"/>
  <c r="P41" i="6" a="1"/>
  <c r="P41" i="6" s="1"/>
  <c r="P38" i="6" a="1"/>
  <c r="P38" i="6" s="1"/>
  <c r="P49" i="6" a="1"/>
  <c r="P49" i="6" s="1"/>
  <c r="P48" i="6" a="1"/>
  <c r="P48" i="6" s="1"/>
  <c r="P47" i="6" a="1"/>
  <c r="P47" i="6" s="1"/>
  <c r="P46" i="6" a="1"/>
  <c r="P46" i="6" s="1"/>
  <c r="P42" i="6" a="1"/>
  <c r="P42" i="6" s="1"/>
  <c r="P39" i="6" a="1"/>
  <c r="P39" i="6" s="1"/>
  <c r="O38" i="6" a="1"/>
  <c r="O38" i="6" s="1"/>
  <c r="O42" i="6" a="1"/>
  <c r="O42" i="6" s="1"/>
  <c r="O44" i="6" a="1"/>
  <c r="O44" i="6" s="1"/>
  <c r="O39" i="6" a="1"/>
  <c r="O39" i="6" s="1"/>
  <c r="O40" i="6" a="1"/>
  <c r="O40" i="6" s="1"/>
  <c r="O45" i="6" a="1"/>
  <c r="O45" i="6" s="1"/>
  <c r="O41" i="6" a="1"/>
  <c r="O41" i="6" s="1"/>
  <c r="O49" i="6" a="1"/>
  <c r="O49" i="6" s="1"/>
  <c r="O48" i="6" a="1"/>
  <c r="O48" i="6" s="1"/>
  <c r="O47" i="6" a="1"/>
  <c r="O47" i="6" s="1"/>
  <c r="O43" i="6" a="1"/>
  <c r="O43" i="6" s="1"/>
  <c r="O46" i="6" a="1"/>
  <c r="O46" i="6" s="1"/>
  <c r="I44" i="6" a="1"/>
  <c r="I44" i="6" s="1"/>
  <c r="I43" i="6" a="1"/>
  <c r="I43" i="6" s="1"/>
  <c r="I42" i="6" a="1"/>
  <c r="I42" i="6" s="1"/>
  <c r="I41" i="6" a="1"/>
  <c r="I41" i="6" s="1"/>
  <c r="I39" i="6" a="1"/>
  <c r="I39" i="6" s="1"/>
  <c r="I38" i="6" a="1"/>
  <c r="I38" i="6" s="1"/>
  <c r="I40" i="6" a="1"/>
  <c r="I40" i="6" s="1"/>
  <c r="I49" i="6" a="1"/>
  <c r="I49" i="6" s="1"/>
  <c r="I48" i="6" a="1"/>
  <c r="I48" i="6" s="1"/>
  <c r="I47" i="6" a="1"/>
  <c r="I47" i="6" s="1"/>
  <c r="I46" i="6" a="1"/>
  <c r="I46" i="6" s="1"/>
  <c r="I45" i="6" a="1"/>
  <c r="I45" i="6" s="1"/>
  <c r="G41" i="6" a="1"/>
  <c r="G41" i="6" s="1"/>
  <c r="G47" i="6" a="1"/>
  <c r="G47" i="6" s="1"/>
  <c r="G44" i="6" a="1"/>
  <c r="G44" i="6" s="1"/>
  <c r="G48" i="6" a="1"/>
  <c r="G48" i="6" s="1"/>
  <c r="G39" i="6" a="1"/>
  <c r="G39" i="6" s="1"/>
  <c r="G42" i="6" a="1"/>
  <c r="G42" i="6" s="1"/>
  <c r="G49" i="6" a="1"/>
  <c r="G49" i="6" s="1"/>
  <c r="G45" i="6" a="1"/>
  <c r="G45" i="6" s="1"/>
  <c r="G40" i="6" a="1"/>
  <c r="G40" i="6" s="1"/>
  <c r="G46" i="6" a="1"/>
  <c r="G46" i="6" s="1"/>
  <c r="G38" i="6" a="1"/>
  <c r="G38" i="6" s="1"/>
  <c r="G43" i="6" a="1"/>
  <c r="G43" i="6" s="1"/>
  <c r="H49" i="6" a="1"/>
  <c r="H49" i="6" s="1"/>
  <c r="H48" i="6" a="1"/>
  <c r="H48" i="6" s="1"/>
  <c r="H47" i="6" a="1"/>
  <c r="H47" i="6" s="1"/>
  <c r="H46" i="6" a="1"/>
  <c r="H46" i="6" s="1"/>
  <c r="H45" i="6" a="1"/>
  <c r="H45" i="6" s="1"/>
  <c r="H44" i="6" a="1"/>
  <c r="H44" i="6" s="1"/>
  <c r="H43" i="6" a="1"/>
  <c r="H43" i="6" s="1"/>
  <c r="H42" i="6" a="1"/>
  <c r="H42" i="6" s="1"/>
  <c r="H41" i="6" a="1"/>
  <c r="H41" i="6" s="1"/>
  <c r="H40" i="6" a="1"/>
  <c r="H40" i="6" s="1"/>
  <c r="H39" i="6" a="1"/>
  <c r="H39" i="6" s="1"/>
  <c r="H38" i="6" a="1"/>
  <c r="H38" i="6" s="1"/>
  <c r="F49" i="6" a="1"/>
  <c r="F49" i="6" s="1"/>
  <c r="F43" i="6" a="1"/>
  <c r="F43" i="6" s="1"/>
  <c r="F42" i="6" a="1"/>
  <c r="F42" i="6" s="1"/>
  <c r="F41" i="6" a="1"/>
  <c r="F41" i="6" s="1"/>
  <c r="F48" i="6" a="1"/>
  <c r="F48" i="6" s="1"/>
  <c r="F47" i="6" a="1"/>
  <c r="F47" i="6" s="1"/>
  <c r="F46" i="6" a="1"/>
  <c r="F46" i="6" s="1"/>
  <c r="F45" i="6" a="1"/>
  <c r="F45" i="6" s="1"/>
  <c r="F44" i="6" a="1"/>
  <c r="F44" i="6" s="1"/>
  <c r="F40" i="6" a="1"/>
  <c r="F40" i="6" s="1"/>
  <c r="F39" i="6" a="1"/>
  <c r="F39" i="6" s="1"/>
  <c r="F38" i="6" a="1"/>
  <c r="F38" i="6" s="1"/>
  <c r="C70" i="4"/>
  <c r="J11" i="4"/>
  <c r="K55" i="47"/>
  <c r="G55" i="47"/>
  <c r="G54" i="47"/>
  <c r="G50" i="47"/>
  <c r="K54" i="47"/>
  <c r="K50" i="47"/>
  <c r="I11" i="4"/>
  <c r="K55" i="46"/>
  <c r="G55" i="46"/>
  <c r="K54" i="46"/>
  <c r="G50" i="46"/>
  <c r="G54" i="46"/>
  <c r="K50" i="46"/>
  <c r="H18" i="4"/>
  <c r="H11" i="4"/>
  <c r="K55" i="45"/>
  <c r="G54" i="45"/>
  <c r="G55" i="45"/>
  <c r="G50" i="45"/>
  <c r="K54" i="45"/>
  <c r="K50" i="45"/>
  <c r="G17" i="4"/>
  <c r="G18" i="4"/>
  <c r="G11" i="4"/>
  <c r="K55" i="44"/>
  <c r="G50" i="44"/>
  <c r="G55" i="44"/>
  <c r="G54" i="44"/>
  <c r="K54" i="44"/>
  <c r="K50" i="44"/>
  <c r="F17" i="4"/>
  <c r="F18" i="4"/>
  <c r="F11" i="4"/>
  <c r="G50" i="43"/>
  <c r="K55" i="43"/>
  <c r="G55" i="43"/>
  <c r="G54" i="43"/>
  <c r="K50" i="43"/>
  <c r="K54" i="43"/>
  <c r="E11" i="4"/>
  <c r="K55" i="42"/>
  <c r="G55" i="42"/>
  <c r="K54" i="42"/>
  <c r="G50" i="42"/>
  <c r="K50" i="42"/>
  <c r="G54" i="42"/>
  <c r="D11" i="4"/>
  <c r="K55" i="41"/>
  <c r="G55" i="41"/>
  <c r="G54" i="41"/>
  <c r="G50" i="41"/>
  <c r="K54" i="41"/>
  <c r="K50" i="41"/>
  <c r="C68" i="18"/>
  <c r="C69" i="18" s="1"/>
  <c r="D68" i="18"/>
  <c r="D69" i="18" s="1"/>
  <c r="F68" i="18"/>
  <c r="F69" i="18" s="1"/>
  <c r="E69" i="18"/>
  <c r="K15" i="6"/>
  <c r="K16" i="6" s="1"/>
  <c r="C15" i="6"/>
  <c r="C16" i="6" s="1"/>
  <c r="C38" i="6" s="1" a="1"/>
  <c r="C38" i="6" s="1"/>
  <c r="O59" i="4"/>
  <c r="O81" i="4"/>
  <c r="E59" i="4"/>
  <c r="E81" i="4"/>
  <c r="R59" i="4"/>
  <c r="R81" i="4"/>
  <c r="I59" i="4"/>
  <c r="I81" i="4"/>
  <c r="Q59" i="4"/>
  <c r="Q81" i="4"/>
  <c r="H59" i="4"/>
  <c r="H81" i="4"/>
  <c r="L59" i="4"/>
  <c r="L81" i="4"/>
  <c r="J59" i="4"/>
  <c r="J81" i="4"/>
  <c r="M59" i="4"/>
  <c r="M81" i="4"/>
  <c r="P59" i="4"/>
  <c r="P81" i="4"/>
  <c r="D59" i="4"/>
  <c r="D81" i="4"/>
  <c r="G59" i="4"/>
  <c r="G81" i="4"/>
  <c r="N59" i="4"/>
  <c r="N81" i="4"/>
  <c r="K59" i="4"/>
  <c r="K81" i="4"/>
  <c r="F59" i="4"/>
  <c r="F81" i="4"/>
  <c r="R33" i="4"/>
  <c r="R46" i="4"/>
  <c r="I33" i="4"/>
  <c r="I46" i="4"/>
  <c r="D33" i="4"/>
  <c r="D46" i="4"/>
  <c r="M33" i="4"/>
  <c r="M46" i="4"/>
  <c r="H33" i="4"/>
  <c r="H46" i="4"/>
  <c r="Q33" i="4"/>
  <c r="Q46" i="4"/>
  <c r="L33" i="4"/>
  <c r="L46" i="4"/>
  <c r="J33" i="4"/>
  <c r="J46" i="4"/>
  <c r="P33" i="4"/>
  <c r="P46" i="4"/>
  <c r="G33" i="4"/>
  <c r="G46" i="4"/>
  <c r="N33" i="4"/>
  <c r="N46" i="4"/>
  <c r="K33" i="4"/>
  <c r="K46" i="4"/>
  <c r="F33" i="4"/>
  <c r="F46" i="4"/>
  <c r="O33" i="4"/>
  <c r="O46" i="4"/>
  <c r="E33" i="4"/>
  <c r="E46" i="4"/>
  <c r="T14" i="6"/>
  <c r="L15" i="6"/>
  <c r="L16" i="6" s="1"/>
  <c r="D15" i="6"/>
  <c r="D16" i="6" s="1"/>
  <c r="E15" i="6"/>
  <c r="E16" i="6" s="1"/>
  <c r="M70" i="4"/>
  <c r="O70" i="4"/>
  <c r="I70" i="4"/>
  <c r="E70" i="4"/>
  <c r="G70" i="4"/>
  <c r="L70" i="4"/>
  <c r="N70" i="4"/>
  <c r="Q70" i="4"/>
  <c r="K70" i="4"/>
  <c r="D70" i="4"/>
  <c r="F70" i="4"/>
  <c r="H70" i="4"/>
  <c r="J70" i="4"/>
  <c r="P70" i="4"/>
  <c r="R70" i="4"/>
  <c r="N95" i="4"/>
  <c r="L95" i="4"/>
  <c r="I95" i="4"/>
  <c r="J95" i="4"/>
  <c r="K95" i="4"/>
  <c r="O95" i="4"/>
  <c r="M95" i="4"/>
  <c r="P95" i="4"/>
  <c r="R95" i="4"/>
  <c r="Q47" i="4"/>
  <c r="Q95" i="4"/>
  <c r="R82" i="4"/>
  <c r="R47" i="4"/>
  <c r="L82" i="4"/>
  <c r="L47" i="4"/>
  <c r="O82" i="4"/>
  <c r="O47" i="4"/>
  <c r="J82" i="4"/>
  <c r="J47" i="4"/>
  <c r="P82" i="4"/>
  <c r="P47" i="4"/>
  <c r="M82" i="4"/>
  <c r="M47" i="4"/>
  <c r="N82" i="4"/>
  <c r="N47" i="4"/>
  <c r="K82" i="4"/>
  <c r="K47" i="4"/>
  <c r="I82" i="4"/>
  <c r="I47" i="4"/>
  <c r="Q82" i="4"/>
  <c r="V89" i="4"/>
  <c r="F16" i="4"/>
  <c r="V76" i="4"/>
  <c r="V54" i="4"/>
  <c r="V41" i="4"/>
  <c r="R96" i="4"/>
  <c r="Q96" i="4"/>
  <c r="L96" i="4"/>
  <c r="P96" i="4"/>
  <c r="K96" i="4"/>
  <c r="O96" i="4"/>
  <c r="N96" i="4"/>
  <c r="M96" i="4"/>
  <c r="D17" i="5"/>
  <c r="C17" i="5"/>
  <c r="E17" i="5"/>
  <c r="G17" i="5" s="1"/>
  <c r="G33" i="5" s="1"/>
  <c r="H4" i="6"/>
  <c r="E4" i="6"/>
  <c r="D4" i="6"/>
  <c r="F4" i="6"/>
  <c r="G4" i="6"/>
  <c r="I8" i="6"/>
  <c r="E5" i="6"/>
  <c r="H5" i="6"/>
  <c r="D5" i="6"/>
  <c r="K8" i="6"/>
  <c r="G5" i="6"/>
  <c r="J8" i="6"/>
  <c r="F5" i="6"/>
  <c r="C6" i="6"/>
  <c r="C5" i="6"/>
  <c r="E15" i="4" a="1"/>
  <c r="F14" i="4" a="1"/>
  <c r="H15" i="4" a="1"/>
  <c r="J15" i="4" a="1"/>
  <c r="D15" i="4" a="1"/>
  <c r="F15" i="4" a="1"/>
  <c r="D16" i="4" a="1"/>
  <c r="J12" i="4" a="1"/>
  <c r="E16" i="4" a="1"/>
  <c r="G16" i="4" a="1"/>
  <c r="G15" i="4" a="1"/>
  <c r="G14" i="4" a="1"/>
  <c r="C4" i="6" a="1"/>
  <c r="I13" i="4" a="1"/>
  <c r="H16" i="4" a="1"/>
  <c r="C4" i="4" a="1"/>
  <c r="I15" i="4" a="1"/>
  <c r="J13" i="4" a="1"/>
  <c r="I14" i="4" a="1"/>
  <c r="D14" i="4" a="1"/>
  <c r="E14" i="4" a="1"/>
  <c r="I12" i="4" a="1"/>
  <c r="J14" i="4" a="1"/>
  <c r="H14" i="4" a="1"/>
  <c r="C46" i="49" l="1"/>
  <c r="J16" i="6"/>
  <c r="J49" i="6" s="1" a="1"/>
  <c r="J49" i="6" s="1"/>
  <c r="E40" i="6" a="1"/>
  <c r="E40" i="6" s="1"/>
  <c r="E44" i="6" a="1"/>
  <c r="E44" i="6" s="1"/>
  <c r="E43" i="6" a="1"/>
  <c r="E43" i="6" s="1"/>
  <c r="E42" i="6" a="1"/>
  <c r="E42" i="6" s="1"/>
  <c r="E41" i="6" a="1"/>
  <c r="E41" i="6" s="1"/>
  <c r="E38" i="6" a="1"/>
  <c r="E38" i="6" s="1"/>
  <c r="E39" i="6" a="1"/>
  <c r="E39" i="6" s="1"/>
  <c r="E49" i="6" a="1"/>
  <c r="E49" i="6" s="1"/>
  <c r="E48" i="6" a="1"/>
  <c r="E48" i="6" s="1"/>
  <c r="E47" i="6" a="1"/>
  <c r="E47" i="6" s="1"/>
  <c r="E46" i="6" a="1"/>
  <c r="E46" i="6" s="1"/>
  <c r="E45" i="6" a="1"/>
  <c r="E45" i="6" s="1"/>
  <c r="K48" i="6" a="1"/>
  <c r="K48" i="6" s="1"/>
  <c r="K39" i="6" a="1"/>
  <c r="K39" i="6" s="1"/>
  <c r="K40" i="6" a="1"/>
  <c r="K40" i="6" s="1"/>
  <c r="K49" i="6" a="1"/>
  <c r="K49" i="6" s="1"/>
  <c r="K42" i="6" a="1"/>
  <c r="K42" i="6" s="1"/>
  <c r="K45" i="6" a="1"/>
  <c r="K45" i="6" s="1"/>
  <c r="K43" i="6" a="1"/>
  <c r="K43" i="6" s="1"/>
  <c r="K46" i="6" a="1"/>
  <c r="K46" i="6" s="1"/>
  <c r="K38" i="6" a="1"/>
  <c r="K38" i="6" s="1"/>
  <c r="K41" i="6" a="1"/>
  <c r="K41" i="6" s="1"/>
  <c r="K47" i="6" a="1"/>
  <c r="K47" i="6" s="1"/>
  <c r="K44" i="6" a="1"/>
  <c r="K44" i="6" s="1"/>
  <c r="D49" i="6" a="1"/>
  <c r="D49" i="6" s="1"/>
  <c r="D48" i="6" a="1"/>
  <c r="D48" i="6" s="1"/>
  <c r="D47" i="6" a="1"/>
  <c r="D47" i="6" s="1"/>
  <c r="D46" i="6" a="1"/>
  <c r="D46" i="6" s="1"/>
  <c r="D45" i="6" a="1"/>
  <c r="D45" i="6" s="1"/>
  <c r="D44" i="6" a="1"/>
  <c r="D44" i="6" s="1"/>
  <c r="D43" i="6" a="1"/>
  <c r="D43" i="6" s="1"/>
  <c r="D42" i="6" a="1"/>
  <c r="D42" i="6" s="1"/>
  <c r="D41" i="6" a="1"/>
  <c r="D41" i="6" s="1"/>
  <c r="D40" i="6" a="1"/>
  <c r="D40" i="6" s="1"/>
  <c r="D39" i="6" a="1"/>
  <c r="D39" i="6" s="1"/>
  <c r="D38" i="6" a="1"/>
  <c r="D38" i="6" s="1"/>
  <c r="L49" i="6" a="1"/>
  <c r="L49" i="6" s="1"/>
  <c r="L48" i="6" a="1"/>
  <c r="L48" i="6" s="1"/>
  <c r="L47" i="6" a="1"/>
  <c r="L47" i="6" s="1"/>
  <c r="L46" i="6" a="1"/>
  <c r="L46" i="6" s="1"/>
  <c r="L45" i="6" a="1"/>
  <c r="L45" i="6" s="1"/>
  <c r="L44" i="6" a="1"/>
  <c r="L44" i="6" s="1"/>
  <c r="L43" i="6" a="1"/>
  <c r="L43" i="6" s="1"/>
  <c r="L42" i="6" a="1"/>
  <c r="L42" i="6" s="1"/>
  <c r="L41" i="6" a="1"/>
  <c r="L41" i="6" s="1"/>
  <c r="L40" i="6" a="1"/>
  <c r="L40" i="6" s="1"/>
  <c r="L39" i="6" a="1"/>
  <c r="L39" i="6" s="1"/>
  <c r="L38" i="6" a="1"/>
  <c r="L38" i="6" s="1"/>
  <c r="C43" i="6" a="1"/>
  <c r="C43" i="6" s="1"/>
  <c r="C46" i="6" a="1"/>
  <c r="C46" i="6" s="1"/>
  <c r="C47" i="6" a="1"/>
  <c r="C47" i="6" s="1"/>
  <c r="C45" i="6" a="1"/>
  <c r="C45" i="6" s="1"/>
  <c r="C41" i="6" a="1"/>
  <c r="C41" i="6" s="1"/>
  <c r="C44" i="6" a="1"/>
  <c r="C44" i="6" s="1"/>
  <c r="C48" i="6" a="1"/>
  <c r="C48" i="6" s="1"/>
  <c r="C39" i="6" a="1"/>
  <c r="C39" i="6" s="1"/>
  <c r="C49" i="6" a="1"/>
  <c r="C49" i="6" s="1"/>
  <c r="C42" i="6" a="1"/>
  <c r="C42" i="6" s="1"/>
  <c r="C40" i="6" a="1"/>
  <c r="C40" i="6" s="1"/>
  <c r="U70" i="4"/>
  <c r="J14" i="4"/>
  <c r="J15" i="4"/>
  <c r="J13" i="4"/>
  <c r="J12" i="4"/>
  <c r="K51" i="47"/>
  <c r="K52" i="47" s="1"/>
  <c r="K53" i="47"/>
  <c r="G53" i="47"/>
  <c r="G51" i="47"/>
  <c r="G52" i="47" s="1"/>
  <c r="I13" i="4"/>
  <c r="I12" i="4"/>
  <c r="I14" i="4"/>
  <c r="I15" i="4"/>
  <c r="K51" i="46"/>
  <c r="K52" i="46" s="1"/>
  <c r="K53" i="46"/>
  <c r="G53" i="46"/>
  <c r="G51" i="46"/>
  <c r="G52" i="46" s="1"/>
  <c r="H14" i="4"/>
  <c r="H15" i="4"/>
  <c r="K51" i="45"/>
  <c r="K52" i="45" s="1"/>
  <c r="K53" i="45"/>
  <c r="G53" i="45"/>
  <c r="G51" i="45"/>
  <c r="G52" i="45" s="1"/>
  <c r="G14" i="4"/>
  <c r="G15" i="4"/>
  <c r="G53" i="44"/>
  <c r="G51" i="44"/>
  <c r="G52" i="44" s="1"/>
  <c r="K51" i="44"/>
  <c r="K52" i="44" s="1"/>
  <c r="K53" i="44"/>
  <c r="F14" i="4"/>
  <c r="F15" i="4"/>
  <c r="K51" i="43"/>
  <c r="K52" i="43" s="1"/>
  <c r="K53" i="43"/>
  <c r="G53" i="43"/>
  <c r="G51" i="43"/>
  <c r="G52" i="43" s="1"/>
  <c r="E15" i="4"/>
  <c r="E14" i="4"/>
  <c r="K51" i="42"/>
  <c r="K52" i="42" s="1"/>
  <c r="K53" i="42"/>
  <c r="G53" i="42"/>
  <c r="G51" i="42"/>
  <c r="G52" i="42" s="1"/>
  <c r="D14" i="4"/>
  <c r="D15" i="4"/>
  <c r="K51" i="41"/>
  <c r="K52" i="41" s="1"/>
  <c r="K53" i="41"/>
  <c r="G53" i="41"/>
  <c r="G51" i="41"/>
  <c r="G52" i="41" s="1"/>
  <c r="C77" i="5"/>
  <c r="C78" i="5" s="1"/>
  <c r="T15" i="6"/>
  <c r="J17" i="6"/>
  <c r="K17" i="6"/>
  <c r="I17" i="6"/>
  <c r="D16" i="4"/>
  <c r="G16" i="4"/>
  <c r="H16" i="4"/>
  <c r="E16" i="4"/>
  <c r="C4" i="6"/>
  <c r="C4" i="4"/>
  <c r="D8" i="27"/>
  <c r="E8" i="27"/>
  <c r="B8" i="27"/>
  <c r="C8" i="27"/>
  <c r="J20" i="4" a="1"/>
  <c r="L4" i="6" a="1"/>
  <c r="I20" i="4" a="1"/>
  <c r="J4" i="6" a="1"/>
  <c r="Q8" i="6" a="1"/>
  <c r="N4" i="6" a="1"/>
  <c r="P8" i="6" a="1"/>
  <c r="O4" i="6" a="1"/>
  <c r="I21" i="4" a="1"/>
  <c r="N8" i="6" a="1"/>
  <c r="R8" i="6" a="1"/>
  <c r="R4" i="6" a="1"/>
  <c r="I4" i="6" a="1"/>
  <c r="P4" i="6" a="1"/>
  <c r="K4" i="6" a="1"/>
  <c r="M4" i="6" a="1"/>
  <c r="O8" i="6" a="1"/>
  <c r="L8" i="6" a="1"/>
  <c r="Q4" i="6" a="1"/>
  <c r="C19" i="4" a="1"/>
  <c r="M8" i="6" a="1"/>
  <c r="J21" i="4" a="1"/>
  <c r="C19" i="4" l="1"/>
  <c r="J46" i="6" a="1"/>
  <c r="J46" i="6" s="1"/>
  <c r="T46" i="6" s="1"/>
  <c r="J42" i="6" a="1"/>
  <c r="J42" i="6" s="1"/>
  <c r="T42" i="6" s="1"/>
  <c r="J44" i="6" a="1"/>
  <c r="J44" i="6" s="1"/>
  <c r="T44" i="6" s="1"/>
  <c r="J45" i="6" a="1"/>
  <c r="J45" i="6" s="1"/>
  <c r="T45" i="6" s="1"/>
  <c r="J43" i="6" a="1"/>
  <c r="J43" i="6" s="1"/>
  <c r="T43" i="6" s="1"/>
  <c r="J41" i="6" a="1"/>
  <c r="J41" i="6" s="1"/>
  <c r="T41" i="6" s="1"/>
  <c r="J39" i="6" a="1"/>
  <c r="J39" i="6" s="1"/>
  <c r="T39" i="6" s="1"/>
  <c r="J38" i="6" a="1"/>
  <c r="J38" i="6" s="1"/>
  <c r="T38" i="6" s="1"/>
  <c r="J40" i="6" a="1"/>
  <c r="J40" i="6" s="1"/>
  <c r="T40" i="6" s="1"/>
  <c r="J47" i="6" a="1"/>
  <c r="J47" i="6" s="1"/>
  <c r="T47" i="6" s="1"/>
  <c r="J48" i="6" a="1"/>
  <c r="J48" i="6" s="1"/>
  <c r="T48" i="6" s="1"/>
  <c r="T49" i="6"/>
  <c r="J20" i="4"/>
  <c r="J21" i="4"/>
  <c r="I96" i="4"/>
  <c r="J96" i="4"/>
  <c r="I20" i="4"/>
  <c r="I21" i="4"/>
  <c r="K4" i="6"/>
  <c r="O4" i="6"/>
  <c r="O8" i="6"/>
  <c r="L4" i="6"/>
  <c r="L8" i="6"/>
  <c r="P8" i="6"/>
  <c r="P4" i="6"/>
  <c r="I4" i="6"/>
  <c r="Q4" i="6"/>
  <c r="M8" i="6"/>
  <c r="Q8" i="6"/>
  <c r="M4" i="6"/>
  <c r="J4" i="6"/>
  <c r="R4" i="6"/>
  <c r="N8" i="6"/>
  <c r="R8" i="6"/>
  <c r="N4" i="6"/>
  <c r="C94" i="4" l="1"/>
  <c r="U94" i="4" s="1"/>
  <c r="C46" i="4"/>
  <c r="U46" i="4" s="1"/>
  <c r="C33" i="4"/>
  <c r="U33" i="4" s="1"/>
  <c r="C19" i="18" s="1"/>
  <c r="C21" i="18" s="1"/>
  <c r="C59" i="4"/>
  <c r="U59" i="4" s="1"/>
  <c r="C81" i="4"/>
  <c r="U81" i="4" s="1"/>
  <c r="T51" i="6"/>
  <c r="M17" i="6"/>
  <c r="R17" i="6"/>
  <c r="Q17" i="6"/>
  <c r="P17" i="6"/>
  <c r="L17" i="6"/>
  <c r="N17" i="6"/>
  <c r="O17" i="6"/>
  <c r="C12" i="27"/>
  <c r="C60" i="18"/>
  <c r="D60" i="18" s="1"/>
  <c r="E60" i="18" s="1"/>
  <c r="F60" i="18" s="1"/>
  <c r="E30" i="27"/>
  <c r="E32" i="27" s="1"/>
  <c r="A54" i="27"/>
  <c r="E44" i="4"/>
  <c r="C52" i="18"/>
  <c r="D52" i="18" s="1"/>
  <c r="E52" i="18" s="1"/>
  <c r="F52" i="18" s="1"/>
  <c r="D27" i="18"/>
  <c r="H54" i="27"/>
  <c r="H47" i="27"/>
  <c r="A39" i="27" s="1"/>
  <c r="H46" i="27"/>
  <c r="A38" i="27" s="1"/>
  <c r="H45" i="27"/>
  <c r="A37" i="27" s="1"/>
  <c r="I43" i="27"/>
  <c r="H44" i="27" s="1"/>
  <c r="A36" i="27" s="1"/>
  <c r="J35" i="27"/>
  <c r="J34" i="27"/>
  <c r="J33" i="27"/>
  <c r="J32" i="27"/>
  <c r="D30" i="27"/>
  <c r="D32" i="27" s="1"/>
  <c r="C30" i="27"/>
  <c r="C32" i="27" s="1"/>
  <c r="B30" i="27"/>
  <c r="B32" i="27" s="1"/>
  <c r="H25" i="27"/>
  <c r="A27" i="27" s="1"/>
  <c r="H24" i="27"/>
  <c r="A24" i="27"/>
  <c r="H23" i="27"/>
  <c r="G18" i="27"/>
  <c r="G15" i="27"/>
  <c r="H13" i="27"/>
  <c r="A14" i="27" s="1"/>
  <c r="H12" i="27"/>
  <c r="A13" i="27" s="1"/>
  <c r="H11" i="27"/>
  <c r="A12" i="27" s="1"/>
  <c r="O10" i="27"/>
  <c r="J10" i="27"/>
  <c r="I15" i="27" s="1"/>
  <c r="A10" i="27"/>
  <c r="A9" i="27"/>
  <c r="C10" i="18"/>
  <c r="D10" i="18" s="1"/>
  <c r="E10" i="18" s="1"/>
  <c r="F10" i="18" s="1"/>
  <c r="A25" i="4"/>
  <c r="A73" i="4"/>
  <c r="I51" i="4"/>
  <c r="A51" i="4"/>
  <c r="A11" i="6" s="1"/>
  <c r="C11" i="6" s="1"/>
  <c r="M11" i="6" s="1"/>
  <c r="I38" i="4"/>
  <c r="A38" i="4"/>
  <c r="D79" i="4"/>
  <c r="E79" i="4"/>
  <c r="F79" i="4"/>
  <c r="G79" i="4"/>
  <c r="H79" i="4"/>
  <c r="I79" i="4"/>
  <c r="J79" i="4"/>
  <c r="K79" i="4"/>
  <c r="L79" i="4"/>
  <c r="M79" i="4"/>
  <c r="N79" i="4"/>
  <c r="O79" i="4"/>
  <c r="P79" i="4"/>
  <c r="Q79" i="4"/>
  <c r="R79" i="4"/>
  <c r="C79" i="4"/>
  <c r="D57" i="4"/>
  <c r="E57" i="4"/>
  <c r="F57" i="4"/>
  <c r="G57" i="4"/>
  <c r="H57" i="4"/>
  <c r="I57" i="4"/>
  <c r="J57" i="4"/>
  <c r="K57" i="4"/>
  <c r="L57" i="4"/>
  <c r="M57" i="4"/>
  <c r="N57" i="4"/>
  <c r="O57" i="4"/>
  <c r="P57" i="4"/>
  <c r="Q57" i="4"/>
  <c r="R57" i="4"/>
  <c r="C44" i="4"/>
  <c r="C57" i="4"/>
  <c r="D44" i="4"/>
  <c r="F44" i="4"/>
  <c r="G44" i="4"/>
  <c r="H44" i="4"/>
  <c r="I44" i="4"/>
  <c r="J44" i="4"/>
  <c r="K44" i="4"/>
  <c r="L44" i="4"/>
  <c r="M44" i="4"/>
  <c r="N44" i="4"/>
  <c r="O44" i="4"/>
  <c r="P44" i="4"/>
  <c r="Q44" i="4"/>
  <c r="R44" i="4"/>
  <c r="T30" i="4"/>
  <c r="T34" i="4"/>
  <c r="T35" i="4"/>
  <c r="T29" i="4"/>
  <c r="D31" i="4"/>
  <c r="E31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C31" i="4"/>
  <c r="G4" i="4" a="1"/>
  <c r="C9" i="4" a="1"/>
  <c r="H4" i="4" a="1"/>
  <c r="C5" i="4" a="1"/>
  <c r="H9" i="4" a="1"/>
  <c r="E6" i="4" a="1"/>
  <c r="G6" i="4" a="1"/>
  <c r="F9" i="4" a="1"/>
  <c r="F6" i="4" a="1"/>
  <c r="E4" i="4" a="1"/>
  <c r="H6" i="4" a="1"/>
  <c r="D5" i="4" a="1"/>
  <c r="E5" i="4" a="1"/>
  <c r="D9" i="4" a="1"/>
  <c r="H5" i="4" a="1"/>
  <c r="G9" i="4" a="1"/>
  <c r="D6" i="4" a="1"/>
  <c r="C6" i="4" a="1"/>
  <c r="D4" i="4" a="1"/>
  <c r="G5" i="4" a="1"/>
  <c r="F5" i="4" a="1"/>
  <c r="E9" i="4" a="1"/>
  <c r="F4" i="4" a="1"/>
  <c r="V94" i="4" l="1"/>
  <c r="D19" i="18"/>
  <c r="V46" i="4"/>
  <c r="F19" i="18"/>
  <c r="V81" i="4"/>
  <c r="E19" i="18"/>
  <c r="V59" i="4"/>
  <c r="C40" i="4"/>
  <c r="C13" i="27"/>
  <c r="C10" i="27"/>
  <c r="E36" i="27"/>
  <c r="E39" i="27"/>
  <c r="E35" i="27"/>
  <c r="E37" i="27"/>
  <c r="E38" i="27"/>
  <c r="A35" i="27"/>
  <c r="J11" i="27"/>
  <c r="A25" i="27"/>
  <c r="N10" i="27"/>
  <c r="A55" i="27"/>
  <c r="B38" i="27"/>
  <c r="B36" i="27"/>
  <c r="B35" i="27"/>
  <c r="B39" i="27"/>
  <c r="B37" i="27"/>
  <c r="C38" i="27"/>
  <c r="C39" i="27"/>
  <c r="C37" i="27"/>
  <c r="C35" i="27"/>
  <c r="C36" i="27"/>
  <c r="D39" i="27"/>
  <c r="D37" i="27"/>
  <c r="D35" i="27"/>
  <c r="D38" i="27"/>
  <c r="D36" i="27"/>
  <c r="J12" i="27"/>
  <c r="A26" i="27"/>
  <c r="D4" i="4"/>
  <c r="G4" i="4"/>
  <c r="F4" i="4"/>
  <c r="H4" i="4"/>
  <c r="E4" i="4"/>
  <c r="E9" i="4"/>
  <c r="H9" i="4"/>
  <c r="E6" i="4"/>
  <c r="H5" i="4"/>
  <c r="D5" i="4"/>
  <c r="G9" i="4"/>
  <c r="H6" i="4"/>
  <c r="D6" i="4"/>
  <c r="G5" i="4"/>
  <c r="D9" i="4"/>
  <c r="F9" i="4"/>
  <c r="G6" i="4"/>
  <c r="F5" i="4"/>
  <c r="F6" i="4"/>
  <c r="E5" i="4"/>
  <c r="C9" i="4"/>
  <c r="C6" i="4"/>
  <c r="C5" i="4"/>
  <c r="I18" i="27" l="1"/>
  <c r="C15" i="27" s="1"/>
  <c r="C53" i="4"/>
  <c r="E40" i="27"/>
  <c r="C40" i="27"/>
  <c r="B40" i="27"/>
  <c r="C11" i="27"/>
  <c r="D40" i="27"/>
  <c r="N83" i="4"/>
  <c r="O83" i="4"/>
  <c r="P83" i="4"/>
  <c r="K83" i="4"/>
  <c r="J83" i="4"/>
  <c r="M83" i="4"/>
  <c r="L83" i="4"/>
  <c r="I61" i="4"/>
  <c r="I71" i="4" s="1"/>
  <c r="I83" i="4"/>
  <c r="Q83" i="4"/>
  <c r="R83" i="4"/>
  <c r="L61" i="4"/>
  <c r="L71" i="4" s="1"/>
  <c r="M61" i="4"/>
  <c r="M71" i="4" s="1"/>
  <c r="O61" i="4"/>
  <c r="O71" i="4" s="1"/>
  <c r="J60" i="4"/>
  <c r="R60" i="4"/>
  <c r="K61" i="4"/>
  <c r="K71" i="4" s="1"/>
  <c r="P61" i="4"/>
  <c r="P71" i="4" s="1"/>
  <c r="I60" i="4"/>
  <c r="O60" i="4"/>
  <c r="M60" i="4"/>
  <c r="P60" i="4"/>
  <c r="N60" i="4"/>
  <c r="Q60" i="4"/>
  <c r="J61" i="4"/>
  <c r="J71" i="4" s="1"/>
  <c r="K60" i="4"/>
  <c r="Q61" i="4"/>
  <c r="Q71" i="4" s="1"/>
  <c r="R61" i="4"/>
  <c r="R71" i="4" s="1"/>
  <c r="L60" i="4"/>
  <c r="N61" i="4"/>
  <c r="N71" i="4" s="1"/>
  <c r="O48" i="4"/>
  <c r="K48" i="4"/>
  <c r="N48" i="4"/>
  <c r="P48" i="4"/>
  <c r="M48" i="4"/>
  <c r="L48" i="4"/>
  <c r="I48" i="4"/>
  <c r="J48" i="4"/>
  <c r="Q48" i="4"/>
  <c r="R48" i="4"/>
  <c r="J35" i="4"/>
  <c r="Q35" i="4"/>
  <c r="I35" i="4"/>
  <c r="R35" i="4"/>
  <c r="N35" i="4"/>
  <c r="O35" i="4"/>
  <c r="K35" i="4"/>
  <c r="O34" i="4"/>
  <c r="L34" i="4"/>
  <c r="P34" i="4"/>
  <c r="N34" i="4"/>
  <c r="J34" i="4"/>
  <c r="I34" i="4"/>
  <c r="P35" i="4"/>
  <c r="K34" i="4"/>
  <c r="R34" i="4"/>
  <c r="M34" i="4"/>
  <c r="Q34" i="4"/>
  <c r="M35" i="4"/>
  <c r="L35" i="4"/>
  <c r="H40" i="4"/>
  <c r="I40" i="4"/>
  <c r="J40" i="4"/>
  <c r="K40" i="4"/>
  <c r="L40" i="4"/>
  <c r="M40" i="4"/>
  <c r="N40" i="4"/>
  <c r="O40" i="4"/>
  <c r="P40" i="4"/>
  <c r="Q40" i="4"/>
  <c r="R40" i="4"/>
  <c r="D73" i="5"/>
  <c r="C73" i="5"/>
  <c r="E70" i="5"/>
  <c r="E71" i="5"/>
  <c r="E72" i="5"/>
  <c r="H72" i="5"/>
  <c r="J72" i="5" s="1" a="1"/>
  <c r="J72" i="5" s="1"/>
  <c r="H70" i="5"/>
  <c r="J70" i="5" s="1" a="1"/>
  <c r="J70" i="5" s="1"/>
  <c r="H71" i="5"/>
  <c r="J71" i="5" s="1" a="1"/>
  <c r="J71" i="5" s="1"/>
  <c r="J79" i="16"/>
  <c r="K79" i="16" s="1"/>
  <c r="J84" i="16"/>
  <c r="K84" i="16" s="1"/>
  <c r="J85" i="16"/>
  <c r="K85" i="16" s="1"/>
  <c r="J86" i="16"/>
  <c r="K86" i="16" s="1"/>
  <c r="J87" i="16"/>
  <c r="K87" i="16" s="1"/>
  <c r="J88" i="16"/>
  <c r="K88" i="16" s="1"/>
  <c r="J89" i="16"/>
  <c r="K89" i="16" s="1"/>
  <c r="J90" i="16"/>
  <c r="K90" i="16" s="1"/>
  <c r="H83" i="16"/>
  <c r="H84" i="16"/>
  <c r="H86" i="16"/>
  <c r="H87" i="16"/>
  <c r="H88" i="16"/>
  <c r="H89" i="16"/>
  <c r="H90" i="16"/>
  <c r="J82" i="16"/>
  <c r="K82" i="16" s="1"/>
  <c r="J80" i="16"/>
  <c r="K80" i="16" s="1"/>
  <c r="J78" i="16"/>
  <c r="K78" i="16" s="1"/>
  <c r="I72" i="16"/>
  <c r="D32" i="18" s="1"/>
  <c r="J76" i="16"/>
  <c r="K76" i="16" s="1"/>
  <c r="J75" i="16"/>
  <c r="K75" i="16" s="1"/>
  <c r="J74" i="16"/>
  <c r="K74" i="16" s="1"/>
  <c r="J73" i="16"/>
  <c r="J68" i="16"/>
  <c r="K68" i="16" s="1"/>
  <c r="J69" i="16"/>
  <c r="K69" i="16" s="1"/>
  <c r="J59" i="16"/>
  <c r="K59" i="16" s="1"/>
  <c r="J60" i="16"/>
  <c r="J61" i="16"/>
  <c r="K61" i="16" s="1"/>
  <c r="J62" i="16"/>
  <c r="K62" i="16" s="1"/>
  <c r="J63" i="16"/>
  <c r="K63" i="16" s="1"/>
  <c r="J64" i="16"/>
  <c r="K64" i="16" s="1"/>
  <c r="J65" i="16"/>
  <c r="K65" i="16" s="1"/>
  <c r="J58" i="16"/>
  <c r="K58" i="16" s="1"/>
  <c r="J54" i="16"/>
  <c r="K54" i="16" s="1"/>
  <c r="J55" i="16"/>
  <c r="K55" i="16" s="1"/>
  <c r="J53" i="16"/>
  <c r="K53" i="16" s="1"/>
  <c r="J52" i="16"/>
  <c r="K52" i="16" s="1"/>
  <c r="J51" i="16"/>
  <c r="K51" i="16" s="1"/>
  <c r="J49" i="16"/>
  <c r="K49" i="16" s="1"/>
  <c r="J48" i="16"/>
  <c r="K48" i="16" s="1"/>
  <c r="J47" i="16"/>
  <c r="K47" i="16" s="1"/>
  <c r="J45" i="16"/>
  <c r="K45" i="16" s="1"/>
  <c r="J44" i="16"/>
  <c r="K44" i="16" s="1"/>
  <c r="J42" i="16"/>
  <c r="K42" i="16" s="1"/>
  <c r="J40" i="16"/>
  <c r="K40" i="16" s="1"/>
  <c r="J38" i="16"/>
  <c r="K38" i="16" s="1"/>
  <c r="J37" i="16"/>
  <c r="J34" i="16"/>
  <c r="K34" i="16" s="1"/>
  <c r="J35" i="16"/>
  <c r="K35" i="16" s="1"/>
  <c r="J33" i="16"/>
  <c r="K33" i="16" s="1"/>
  <c r="J32" i="16"/>
  <c r="K32" i="16" s="1"/>
  <c r="J31" i="16"/>
  <c r="K31" i="16" s="1"/>
  <c r="J29" i="16"/>
  <c r="K29" i="16" s="1"/>
  <c r="J28" i="16"/>
  <c r="J27" i="16"/>
  <c r="K27" i="16" s="1"/>
  <c r="J24" i="16"/>
  <c r="J25" i="16"/>
  <c r="K25" i="16" s="1"/>
  <c r="J23" i="16"/>
  <c r="K23" i="16" s="1"/>
  <c r="H82" i="16"/>
  <c r="H79" i="16"/>
  <c r="H80" i="16"/>
  <c r="H78" i="16"/>
  <c r="H74" i="16"/>
  <c r="H75" i="16"/>
  <c r="H76" i="16"/>
  <c r="H73" i="16"/>
  <c r="H68" i="16"/>
  <c r="H69" i="16"/>
  <c r="H59" i="16"/>
  <c r="H60" i="16"/>
  <c r="H61" i="16"/>
  <c r="H62" i="16"/>
  <c r="H63" i="16"/>
  <c r="H64" i="16"/>
  <c r="H65" i="16"/>
  <c r="H56" i="16"/>
  <c r="C27" i="18" s="1"/>
  <c r="H58" i="16"/>
  <c r="H52" i="16"/>
  <c r="H53" i="16"/>
  <c r="H54" i="16"/>
  <c r="H55" i="16"/>
  <c r="H51" i="16"/>
  <c r="H49" i="16"/>
  <c r="H48" i="16"/>
  <c r="H47" i="16"/>
  <c r="H45" i="16"/>
  <c r="H44" i="16"/>
  <c r="H42" i="16"/>
  <c r="H38" i="16"/>
  <c r="H40" i="16"/>
  <c r="H37" i="16"/>
  <c r="H32" i="16"/>
  <c r="H33" i="16"/>
  <c r="H34" i="16"/>
  <c r="H35" i="16"/>
  <c r="H31" i="16"/>
  <c r="H27" i="16"/>
  <c r="H28" i="16"/>
  <c r="H29" i="16"/>
  <c r="H25" i="16"/>
  <c r="H23" i="16"/>
  <c r="F21" i="18"/>
  <c r="E21" i="18"/>
  <c r="D21" i="18"/>
  <c r="H69" i="5"/>
  <c r="J69" i="5" s="1" a="1"/>
  <c r="J69" i="5" s="1"/>
  <c r="E69" i="5"/>
  <c r="H68" i="5"/>
  <c r="J68" i="5" s="1" a="1"/>
  <c r="J68" i="5" s="1"/>
  <c r="E68" i="5"/>
  <c r="H67" i="5"/>
  <c r="J67" i="5" s="1" a="1"/>
  <c r="J67" i="5" s="1"/>
  <c r="E67" i="5"/>
  <c r="H66" i="5"/>
  <c r="J66" i="5" s="1" a="1"/>
  <c r="J66" i="5" s="1"/>
  <c r="E66" i="5"/>
  <c r="H65" i="5"/>
  <c r="J65" i="5" s="1" a="1"/>
  <c r="J65" i="5" s="1"/>
  <c r="E65" i="5"/>
  <c r="H64" i="5"/>
  <c r="J64" i="5" s="1" a="1"/>
  <c r="J64" i="5" s="1"/>
  <c r="E64" i="5"/>
  <c r="H63" i="5"/>
  <c r="J63" i="5" s="1" a="1"/>
  <c r="J63" i="5" s="1"/>
  <c r="E63" i="5"/>
  <c r="H62" i="5"/>
  <c r="J62" i="5" s="1" a="1"/>
  <c r="J62" i="5" s="1"/>
  <c r="E62" i="5"/>
  <c r="H61" i="5"/>
  <c r="E61" i="5"/>
  <c r="G49" i="5"/>
  <c r="D12" i="5"/>
  <c r="G10" i="5"/>
  <c r="D7" i="5"/>
  <c r="D9" i="5" s="1"/>
  <c r="G40" i="4"/>
  <c r="F40" i="4"/>
  <c r="E40" i="4"/>
  <c r="I81" i="16"/>
  <c r="D34" i="18" s="1"/>
  <c r="I77" i="16"/>
  <c r="D33" i="18" s="1"/>
  <c r="I66" i="16"/>
  <c r="D29" i="18" s="1"/>
  <c r="I57" i="16"/>
  <c r="D28" i="18" s="1"/>
  <c r="I50" i="16"/>
  <c r="D26" i="18" s="1"/>
  <c r="I46" i="16"/>
  <c r="I43" i="16"/>
  <c r="I26" i="16"/>
  <c r="I22" i="16"/>
  <c r="H16" i="16"/>
  <c r="M6" i="12"/>
  <c r="M33" i="12" s="1"/>
  <c r="C7" i="4" a="1"/>
  <c r="H8" i="6" a="1"/>
  <c r="E7" i="4" a="1"/>
  <c r="F8" i="6" a="1"/>
  <c r="E8" i="6" a="1"/>
  <c r="F7" i="4" a="1"/>
  <c r="D8" i="6" a="1"/>
  <c r="D7" i="4" a="1"/>
  <c r="G7" i="4" a="1"/>
  <c r="H7" i="4" a="1"/>
  <c r="G8" i="6" a="1"/>
  <c r="C8" i="6" a="1"/>
  <c r="C75" i="4" l="1"/>
  <c r="K67" i="4"/>
  <c r="K68" i="4"/>
  <c r="K69" i="4"/>
  <c r="Q67" i="4"/>
  <c r="Q68" i="4"/>
  <c r="Q69" i="4"/>
  <c r="R68" i="4"/>
  <c r="R67" i="4"/>
  <c r="R69" i="4"/>
  <c r="N67" i="4"/>
  <c r="N69" i="4"/>
  <c r="N68" i="4"/>
  <c r="J65" i="4"/>
  <c r="J66" i="4" s="1"/>
  <c r="J67" i="4"/>
  <c r="J68" i="4"/>
  <c r="J69" i="4"/>
  <c r="P65" i="4"/>
  <c r="P66" i="4" s="1"/>
  <c r="P69" i="4"/>
  <c r="P68" i="4"/>
  <c r="P67" i="4"/>
  <c r="L67" i="4"/>
  <c r="L69" i="4"/>
  <c r="L68" i="4"/>
  <c r="M65" i="4"/>
  <c r="M66" i="4" s="1"/>
  <c r="M68" i="4"/>
  <c r="M69" i="4"/>
  <c r="M67" i="4"/>
  <c r="O69" i="4"/>
  <c r="O68" i="4"/>
  <c r="O67" i="4"/>
  <c r="I68" i="4"/>
  <c r="I69" i="4"/>
  <c r="I67" i="4"/>
  <c r="N65" i="4"/>
  <c r="N66" i="4" s="1"/>
  <c r="L65" i="4"/>
  <c r="L66" i="4" s="1"/>
  <c r="Q65" i="4"/>
  <c r="Q66" i="4" s="1"/>
  <c r="R65" i="4"/>
  <c r="R66" i="4" s="1"/>
  <c r="O65" i="4"/>
  <c r="O66" i="4" s="1"/>
  <c r="I65" i="4"/>
  <c r="I66" i="4" s="1"/>
  <c r="K65" i="4"/>
  <c r="K66" i="4" s="1"/>
  <c r="J72" i="16"/>
  <c r="E32" i="18" s="1"/>
  <c r="J43" i="16"/>
  <c r="F7" i="4"/>
  <c r="F95" i="4" s="1"/>
  <c r="F8" i="6"/>
  <c r="H7" i="4"/>
  <c r="H95" i="4" s="1"/>
  <c r="D7" i="4"/>
  <c r="D95" i="4" s="1"/>
  <c r="D8" i="6"/>
  <c r="H8" i="6"/>
  <c r="H17" i="6" s="1"/>
  <c r="C7" i="4"/>
  <c r="G7" i="4"/>
  <c r="G95" i="4" s="1"/>
  <c r="E7" i="4"/>
  <c r="E95" i="4" s="1"/>
  <c r="E8" i="6"/>
  <c r="G8" i="6"/>
  <c r="C8" i="6"/>
  <c r="M26" i="12"/>
  <c r="E73" i="5"/>
  <c r="H72" i="16"/>
  <c r="C32" i="18" s="1"/>
  <c r="K49" i="5"/>
  <c r="H77" i="16"/>
  <c r="C33" i="18" s="1"/>
  <c r="K73" i="16"/>
  <c r="K72" i="16" s="1"/>
  <c r="F32" i="18" s="1"/>
  <c r="M31" i="12"/>
  <c r="M28" i="12"/>
  <c r="M14" i="12"/>
  <c r="M30" i="12"/>
  <c r="D63" i="18"/>
  <c r="K43" i="16"/>
  <c r="K56" i="16"/>
  <c r="F27" i="18" s="1"/>
  <c r="E27" i="18"/>
  <c r="H66" i="16"/>
  <c r="C29" i="18" s="1"/>
  <c r="J22" i="16"/>
  <c r="K46" i="16"/>
  <c r="H81" i="16"/>
  <c r="C34" i="18" s="1"/>
  <c r="H43" i="16"/>
  <c r="H50" i="16"/>
  <c r="C26" i="18" s="1"/>
  <c r="I16" i="16"/>
  <c r="E16" i="16" s="1"/>
  <c r="B21" i="27"/>
  <c r="B7" i="27"/>
  <c r="H46" i="16"/>
  <c r="J57" i="16"/>
  <c r="E28" i="18" s="1"/>
  <c r="B13" i="27"/>
  <c r="B10" i="27"/>
  <c r="B12" i="27"/>
  <c r="K66" i="16"/>
  <c r="F29" i="18" s="1"/>
  <c r="D40" i="4"/>
  <c r="H73" i="5"/>
  <c r="D13" i="5"/>
  <c r="J46" i="16"/>
  <c r="J66" i="16"/>
  <c r="E29" i="18" s="1"/>
  <c r="K24" i="16"/>
  <c r="K22" i="16" s="1"/>
  <c r="J77" i="16"/>
  <c r="E33" i="18" s="1"/>
  <c r="K50" i="16"/>
  <c r="F26" i="18" s="1"/>
  <c r="H57" i="16"/>
  <c r="C28" i="18" s="1"/>
  <c r="J26" i="16"/>
  <c r="K28" i="16"/>
  <c r="K26" i="16" s="1"/>
  <c r="K60" i="16"/>
  <c r="K57" i="16" s="1"/>
  <c r="F28" i="18" s="1"/>
  <c r="K77" i="16"/>
  <c r="F33" i="18" s="1"/>
  <c r="I41" i="16"/>
  <c r="D25" i="18" s="1"/>
  <c r="J81" i="16"/>
  <c r="E34" i="18" s="1"/>
  <c r="K83" i="16"/>
  <c r="K81" i="16" s="1"/>
  <c r="F34" i="18" s="1"/>
  <c r="H22" i="16"/>
  <c r="K37" i="16"/>
  <c r="J50" i="16"/>
  <c r="E26" i="18" s="1"/>
  <c r="H26" i="16"/>
  <c r="I21" i="16"/>
  <c r="J61" i="5" a="1"/>
  <c r="J61" i="5" s="1"/>
  <c r="M16" i="12"/>
  <c r="M32" i="12"/>
  <c r="M17" i="12"/>
  <c r="M29" i="12"/>
  <c r="M11" i="12"/>
  <c r="M9" i="12"/>
  <c r="N6" i="12"/>
  <c r="N26" i="12" s="1"/>
  <c r="M15" i="12"/>
  <c r="L6" i="12"/>
  <c r="M20" i="12"/>
  <c r="M21" i="12"/>
  <c r="M36" i="12"/>
  <c r="M37" i="12"/>
  <c r="M18" i="12"/>
  <c r="M19" i="12"/>
  <c r="M34" i="12"/>
  <c r="M35" i="12"/>
  <c r="E42" i="12"/>
  <c r="M10" i="12"/>
  <c r="M13" i="12"/>
  <c r="M27" i="12"/>
  <c r="M7" i="12"/>
  <c r="M8" i="12"/>
  <c r="M12" i="12"/>
  <c r="M24" i="12"/>
  <c r="M25" i="12"/>
  <c r="M40" i="12"/>
  <c r="M41" i="12"/>
  <c r="M22" i="12"/>
  <c r="M23" i="12"/>
  <c r="M38" i="12"/>
  <c r="M39" i="12"/>
  <c r="D8" i="4" a="1"/>
  <c r="E8" i="4" a="1"/>
  <c r="F8" i="4" a="1"/>
  <c r="G8" i="4" a="1"/>
  <c r="H8" i="4" a="1"/>
  <c r="C8" i="4" a="1"/>
  <c r="U41" i="6" l="1"/>
  <c r="T16" i="6"/>
  <c r="U44" i="6"/>
  <c r="U49" i="6"/>
  <c r="U48" i="6"/>
  <c r="U46" i="6"/>
  <c r="U43" i="6"/>
  <c r="U45" i="6"/>
  <c r="U39" i="6"/>
  <c r="U40" i="6"/>
  <c r="U42" i="6"/>
  <c r="U47" i="6"/>
  <c r="U38" i="6"/>
  <c r="D23" i="18"/>
  <c r="E17" i="6"/>
  <c r="F17" i="6"/>
  <c r="G17" i="6"/>
  <c r="D17" i="6"/>
  <c r="C17" i="6"/>
  <c r="C47" i="4"/>
  <c r="C95" i="4"/>
  <c r="O53" i="4"/>
  <c r="Q53" i="4"/>
  <c r="F53" i="4"/>
  <c r="H53" i="4"/>
  <c r="G53" i="4"/>
  <c r="K53" i="4"/>
  <c r="M53" i="4"/>
  <c r="P53" i="4"/>
  <c r="J53" i="4"/>
  <c r="E53" i="4"/>
  <c r="N53" i="4"/>
  <c r="I53" i="4"/>
  <c r="R53" i="4"/>
  <c r="L53" i="4"/>
  <c r="G82" i="4"/>
  <c r="G47" i="4"/>
  <c r="H82" i="4"/>
  <c r="H47" i="4"/>
  <c r="E82" i="4"/>
  <c r="E47" i="4"/>
  <c r="F82" i="4"/>
  <c r="F47" i="4"/>
  <c r="D82" i="4"/>
  <c r="D47" i="4"/>
  <c r="C60" i="4"/>
  <c r="C82" i="4"/>
  <c r="J41" i="16"/>
  <c r="E25" i="18" s="1"/>
  <c r="D53" i="4"/>
  <c r="C88" i="4"/>
  <c r="C34" i="4"/>
  <c r="H17" i="5"/>
  <c r="H18" i="5"/>
  <c r="H19" i="5"/>
  <c r="H21" i="5"/>
  <c r="H20" i="5"/>
  <c r="H34" i="5"/>
  <c r="H36" i="5"/>
  <c r="H37" i="5"/>
  <c r="H35" i="5"/>
  <c r="H41" i="16"/>
  <c r="C25" i="18" s="1"/>
  <c r="K41" i="16"/>
  <c r="F25" i="18" s="1"/>
  <c r="H21" i="16"/>
  <c r="J21" i="16"/>
  <c r="C8" i="4"/>
  <c r="D8" i="4"/>
  <c r="E8" i="4"/>
  <c r="F8" i="4"/>
  <c r="H8" i="4"/>
  <c r="G8" i="4"/>
  <c r="G60" i="4"/>
  <c r="G68" i="4" s="1"/>
  <c r="G34" i="4"/>
  <c r="D34" i="4"/>
  <c r="D60" i="4"/>
  <c r="D69" i="4" s="1"/>
  <c r="H34" i="4"/>
  <c r="H60" i="4"/>
  <c r="H67" i="4" s="1"/>
  <c r="E34" i="4"/>
  <c r="E60" i="4"/>
  <c r="E68" i="4" s="1"/>
  <c r="F60" i="4"/>
  <c r="F69" i="4" s="1"/>
  <c r="F34" i="4"/>
  <c r="J73" i="5"/>
  <c r="G44" i="5" s="1"/>
  <c r="G45" i="5" s="1"/>
  <c r="H33" i="5" s="1"/>
  <c r="D64" i="18"/>
  <c r="K21" i="16"/>
  <c r="J16" i="16"/>
  <c r="C7" i="27"/>
  <c r="C21" i="27"/>
  <c r="B15" i="27"/>
  <c r="B11" i="27"/>
  <c r="E10" i="27"/>
  <c r="E13" i="27"/>
  <c r="E12" i="27"/>
  <c r="D10" i="27"/>
  <c r="D12" i="27"/>
  <c r="D13" i="27"/>
  <c r="N13" i="12"/>
  <c r="N41" i="12"/>
  <c r="N39" i="12"/>
  <c r="N37" i="12"/>
  <c r="N35" i="12"/>
  <c r="N33" i="12"/>
  <c r="N31" i="12"/>
  <c r="N29" i="12"/>
  <c r="N27" i="12"/>
  <c r="N25" i="12"/>
  <c r="N23" i="12"/>
  <c r="N21" i="12"/>
  <c r="N19" i="12"/>
  <c r="N17" i="12"/>
  <c r="N8" i="12"/>
  <c r="N40" i="12"/>
  <c r="N38" i="12"/>
  <c r="N36" i="12"/>
  <c r="N34" i="12"/>
  <c r="N32" i="12"/>
  <c r="N30" i="12"/>
  <c r="N28" i="12"/>
  <c r="N24" i="12"/>
  <c r="N22" i="12"/>
  <c r="N20" i="12"/>
  <c r="N18" i="12"/>
  <c r="N16" i="12"/>
  <c r="N7" i="12"/>
  <c r="N12" i="12"/>
  <c r="N11" i="12"/>
  <c r="N10" i="12"/>
  <c r="N14" i="12"/>
  <c r="N9" i="12"/>
  <c r="N15" i="12"/>
  <c r="O6" i="12"/>
  <c r="M42" i="12"/>
  <c r="C16" i="4" a="1"/>
  <c r="V43" i="6" l="1"/>
  <c r="V45" i="6"/>
  <c r="V46" i="6"/>
  <c r="V41" i="6"/>
  <c r="V47" i="6"/>
  <c r="V49" i="6"/>
  <c r="V44" i="6"/>
  <c r="V48" i="6"/>
  <c r="V40" i="6"/>
  <c r="V39" i="6"/>
  <c r="V38" i="6"/>
  <c r="U51" i="6"/>
  <c r="U54" i="6" s="1"/>
  <c r="T17" i="6"/>
  <c r="V42" i="6"/>
  <c r="W42" i="6"/>
  <c r="X42" i="6" s="1"/>
  <c r="E23" i="18"/>
  <c r="C23" i="18"/>
  <c r="F23" i="18"/>
  <c r="W43" i="6"/>
  <c r="X43" i="6" s="1"/>
  <c r="W45" i="6"/>
  <c r="X45" i="6" s="1"/>
  <c r="W47" i="6"/>
  <c r="X47" i="6" s="1"/>
  <c r="W48" i="6"/>
  <c r="X48" i="6" s="1"/>
  <c r="W49" i="6"/>
  <c r="X49" i="6" s="1"/>
  <c r="W40" i="6"/>
  <c r="X40" i="6" s="1"/>
  <c r="W46" i="6"/>
  <c r="X46" i="6" s="1"/>
  <c r="W39" i="6"/>
  <c r="X39" i="6" s="1"/>
  <c r="W44" i="6"/>
  <c r="X44" i="6" s="1"/>
  <c r="W41" i="6"/>
  <c r="X41" i="6" s="1"/>
  <c r="W38" i="6"/>
  <c r="X38" i="6" s="1"/>
  <c r="P75" i="4"/>
  <c r="M75" i="4"/>
  <c r="L75" i="4"/>
  <c r="K75" i="4"/>
  <c r="R75" i="4"/>
  <c r="G75" i="4"/>
  <c r="I75" i="4"/>
  <c r="H75" i="4"/>
  <c r="N75" i="4"/>
  <c r="N88" i="4" s="1"/>
  <c r="F75" i="4"/>
  <c r="E75" i="4"/>
  <c r="Q75" i="4"/>
  <c r="J75" i="4"/>
  <c r="J88" i="4" s="1"/>
  <c r="O75" i="4"/>
  <c r="C16" i="4"/>
  <c r="C4" i="39" a="1"/>
  <c r="C4" i="39" s="1"/>
  <c r="B4" i="39" a="1"/>
  <c r="U95" i="4"/>
  <c r="D97" i="4" s="1"/>
  <c r="U82" i="4"/>
  <c r="D75" i="4"/>
  <c r="U60" i="4"/>
  <c r="U47" i="4"/>
  <c r="U34" i="4"/>
  <c r="F67" i="4"/>
  <c r="G67" i="4"/>
  <c r="D67" i="4"/>
  <c r="G69" i="4"/>
  <c r="F68" i="4"/>
  <c r="D68" i="4"/>
  <c r="H69" i="4"/>
  <c r="H68" i="4"/>
  <c r="E67" i="4"/>
  <c r="E69" i="4"/>
  <c r="H44" i="5"/>
  <c r="G46" i="5"/>
  <c r="H45" i="5"/>
  <c r="H43" i="5"/>
  <c r="C22" i="27"/>
  <c r="C63" i="18"/>
  <c r="C64" i="18" s="1"/>
  <c r="E11" i="27"/>
  <c r="E15" i="27"/>
  <c r="D11" i="27"/>
  <c r="D15" i="27"/>
  <c r="D7" i="27"/>
  <c r="D21" i="27"/>
  <c r="K16" i="16"/>
  <c r="N42" i="12"/>
  <c r="H71" i="16" s="1"/>
  <c r="O15" i="12"/>
  <c r="O12" i="12"/>
  <c r="O10" i="12"/>
  <c r="O11" i="12"/>
  <c r="O9" i="12"/>
  <c r="P6" i="12"/>
  <c r="O41" i="12"/>
  <c r="O40" i="12"/>
  <c r="O25" i="12"/>
  <c r="O24" i="12"/>
  <c r="O8" i="12"/>
  <c r="O7" i="12"/>
  <c r="O27" i="12"/>
  <c r="O26" i="12"/>
  <c r="O14" i="12"/>
  <c r="O13" i="12"/>
  <c r="O29" i="12"/>
  <c r="O28" i="12"/>
  <c r="O31" i="12"/>
  <c r="O30" i="12"/>
  <c r="O33" i="12"/>
  <c r="O32" i="12"/>
  <c r="O17" i="12"/>
  <c r="O16" i="12"/>
  <c r="O37" i="12"/>
  <c r="O36" i="12"/>
  <c r="O21" i="12"/>
  <c r="O20" i="12"/>
  <c r="O39" i="12"/>
  <c r="O38" i="12"/>
  <c r="O23" i="12"/>
  <c r="O22" i="12"/>
  <c r="O35" i="12"/>
  <c r="O19" i="12"/>
  <c r="O34" i="12"/>
  <c r="O18" i="12"/>
  <c r="E13" i="4" a="1"/>
  <c r="C18" i="4" a="1"/>
  <c r="G12" i="4" a="1"/>
  <c r="C11" i="4" a="1"/>
  <c r="C17" i="4" a="1"/>
  <c r="G13" i="4" a="1"/>
  <c r="E12" i="4" a="1"/>
  <c r="B7" i="48" l="1"/>
  <c r="A5" i="48"/>
  <c r="B5" i="48"/>
  <c r="A3" i="48"/>
  <c r="B4" i="48"/>
  <c r="B3" i="48"/>
  <c r="A6" i="48"/>
  <c r="B6" i="48"/>
  <c r="A4" i="48"/>
  <c r="A7" i="48"/>
  <c r="L41" i="12"/>
  <c r="L33" i="12"/>
  <c r="L25" i="12"/>
  <c r="L17" i="12"/>
  <c r="L9" i="12"/>
  <c r="L22" i="12"/>
  <c r="L21" i="12"/>
  <c r="L20" i="12"/>
  <c r="L19" i="12"/>
  <c r="L18" i="12"/>
  <c r="L40" i="12"/>
  <c r="L32" i="12"/>
  <c r="L24" i="12"/>
  <c r="L16" i="12"/>
  <c r="L8" i="12"/>
  <c r="L30" i="12"/>
  <c r="L37" i="12"/>
  <c r="L13" i="12"/>
  <c r="L28" i="12"/>
  <c r="L27" i="12"/>
  <c r="L34" i="12"/>
  <c r="L39" i="12"/>
  <c r="L31" i="12"/>
  <c r="L23" i="12"/>
  <c r="L15" i="12"/>
  <c r="L7" i="12"/>
  <c r="L38" i="12"/>
  <c r="L14" i="12"/>
  <c r="L29" i="12"/>
  <c r="L36" i="12"/>
  <c r="L12" i="12"/>
  <c r="L35" i="12"/>
  <c r="L11" i="12"/>
  <c r="L26" i="12"/>
  <c r="L10" i="12"/>
  <c r="V51" i="6"/>
  <c r="F16" i="21" a="1"/>
  <c r="L23" i="21" s="1"/>
  <c r="L22" i="21" s="1"/>
  <c r="M88" i="4"/>
  <c r="K88" i="4"/>
  <c r="L88" i="4"/>
  <c r="O88" i="4"/>
  <c r="F88" i="4"/>
  <c r="G88" i="4"/>
  <c r="E88" i="4"/>
  <c r="I88" i="4"/>
  <c r="Q88" i="4"/>
  <c r="R88" i="4"/>
  <c r="P88" i="4"/>
  <c r="H88" i="4"/>
  <c r="C18" i="4"/>
  <c r="C17" i="4"/>
  <c r="C11" i="4"/>
  <c r="C5" i="32"/>
  <c r="C6" i="32"/>
  <c r="B5" i="32"/>
  <c r="B6" i="32"/>
  <c r="B4" i="39"/>
  <c r="A4" i="39" s="1" a="1"/>
  <c r="A4" i="39" s="1"/>
  <c r="D4" i="39" a="1"/>
  <c r="H97" i="4"/>
  <c r="F97" i="4"/>
  <c r="E97" i="4"/>
  <c r="G97" i="4"/>
  <c r="L97" i="4"/>
  <c r="R97" i="4"/>
  <c r="P97" i="4"/>
  <c r="Q97" i="4"/>
  <c r="O97" i="4"/>
  <c r="K97" i="4"/>
  <c r="J97" i="4"/>
  <c r="N97" i="4"/>
  <c r="I97" i="4"/>
  <c r="M97" i="4"/>
  <c r="U92" i="4"/>
  <c r="C97" i="4"/>
  <c r="V82" i="4"/>
  <c r="U79" i="4"/>
  <c r="D88" i="4"/>
  <c r="U57" i="4"/>
  <c r="H62" i="4"/>
  <c r="U44" i="4"/>
  <c r="U31" i="4"/>
  <c r="E49" i="4"/>
  <c r="H49" i="4"/>
  <c r="G49" i="4"/>
  <c r="F62" i="4"/>
  <c r="F12" i="18"/>
  <c r="C84" i="4"/>
  <c r="L49" i="4"/>
  <c r="M49" i="4"/>
  <c r="P49" i="4"/>
  <c r="C49" i="4"/>
  <c r="N49" i="4"/>
  <c r="D12" i="18"/>
  <c r="Q49" i="4"/>
  <c r="O49" i="4"/>
  <c r="K49" i="4"/>
  <c r="J49" i="4"/>
  <c r="I49" i="4"/>
  <c r="R49" i="4"/>
  <c r="F49" i="4"/>
  <c r="D49" i="4"/>
  <c r="C12" i="18"/>
  <c r="I36" i="4"/>
  <c r="N36" i="4"/>
  <c r="O36" i="4"/>
  <c r="P36" i="4"/>
  <c r="R36" i="4"/>
  <c r="L36" i="4"/>
  <c r="K36" i="4"/>
  <c r="H36" i="4"/>
  <c r="J36" i="4"/>
  <c r="M36" i="4"/>
  <c r="D36" i="4"/>
  <c r="F36" i="4"/>
  <c r="G36" i="4"/>
  <c r="C36" i="4"/>
  <c r="Q36" i="4"/>
  <c r="E62" i="4"/>
  <c r="K62" i="4"/>
  <c r="P62" i="4"/>
  <c r="D62" i="4"/>
  <c r="R62" i="4"/>
  <c r="E12" i="18"/>
  <c r="L62" i="4"/>
  <c r="G62" i="4"/>
  <c r="Q62" i="4"/>
  <c r="M62" i="4"/>
  <c r="N62" i="4"/>
  <c r="J62" i="4"/>
  <c r="O62" i="4"/>
  <c r="I62" i="4"/>
  <c r="C62" i="4"/>
  <c r="E36" i="4"/>
  <c r="E13" i="4"/>
  <c r="E12" i="4"/>
  <c r="G13" i="4"/>
  <c r="G12" i="4"/>
  <c r="G50" i="5"/>
  <c r="G51" i="5" s="1"/>
  <c r="G52" i="5" s="1"/>
  <c r="K50" i="5"/>
  <c r="K51" i="5" s="1"/>
  <c r="K52" i="5" s="1"/>
  <c r="G54" i="5"/>
  <c r="K55" i="5"/>
  <c r="G55" i="5"/>
  <c r="K54" i="5"/>
  <c r="B22" i="27"/>
  <c r="E63" i="18"/>
  <c r="E64" i="18" s="1"/>
  <c r="F63" i="18"/>
  <c r="F64" i="18" s="1"/>
  <c r="C31" i="18"/>
  <c r="E7" i="27"/>
  <c r="E21" i="27"/>
  <c r="P41" i="12"/>
  <c r="P39" i="12"/>
  <c r="P37" i="12"/>
  <c r="P35" i="12"/>
  <c r="P33" i="12"/>
  <c r="P31" i="12"/>
  <c r="P29" i="12"/>
  <c r="P27" i="12"/>
  <c r="P25" i="12"/>
  <c r="P23" i="12"/>
  <c r="P21" i="12"/>
  <c r="P19" i="12"/>
  <c r="P17" i="12"/>
  <c r="P8" i="12"/>
  <c r="P14" i="12"/>
  <c r="P13" i="12"/>
  <c r="P26" i="12"/>
  <c r="P11" i="12"/>
  <c r="P10" i="12"/>
  <c r="P28" i="12"/>
  <c r="P9" i="12"/>
  <c r="P30" i="12"/>
  <c r="P15" i="12"/>
  <c r="P32" i="12"/>
  <c r="P16" i="12"/>
  <c r="P34" i="12"/>
  <c r="P18" i="12"/>
  <c r="P38" i="12"/>
  <c r="P22" i="12"/>
  <c r="P40" i="12"/>
  <c r="P24" i="12"/>
  <c r="P12" i="12"/>
  <c r="P7" i="12"/>
  <c r="Q6" i="12"/>
  <c r="P36" i="12"/>
  <c r="P20" i="12"/>
  <c r="O42" i="12"/>
  <c r="I71" i="16" s="1"/>
  <c r="F12" i="4" a="1"/>
  <c r="H12" i="4" a="1"/>
  <c r="C21" i="4" a="1"/>
  <c r="D12" i="4" a="1"/>
  <c r="C15" i="4" a="1"/>
  <c r="C20" i="4" a="1"/>
  <c r="C12" i="4" a="1"/>
  <c r="F13" i="4" a="1"/>
  <c r="D13" i="4" a="1"/>
  <c r="C14" i="4" a="1"/>
  <c r="C13" i="4" a="1"/>
  <c r="H13" i="4" a="1"/>
  <c r="A2" i="48" l="1"/>
  <c r="B2" i="48"/>
  <c r="K23" i="21"/>
  <c r="K22" i="21" s="1"/>
  <c r="N23" i="21"/>
  <c r="N22" i="21" s="1"/>
  <c r="Q23" i="21"/>
  <c r="Q22" i="21" s="1"/>
  <c r="G23" i="21"/>
  <c r="G22" i="21" s="1"/>
  <c r="M23" i="21"/>
  <c r="M22" i="21" s="1"/>
  <c r="P23" i="21"/>
  <c r="P22" i="21" s="1"/>
  <c r="F16" i="21"/>
  <c r="F23" i="21" s="1"/>
  <c r="F22" i="21" s="1"/>
  <c r="F25" i="21" s="1"/>
  <c r="J23" i="21"/>
  <c r="J22" i="21" s="1"/>
  <c r="H23" i="21"/>
  <c r="H22" i="21" s="1"/>
  <c r="I23" i="21"/>
  <c r="I22" i="21" s="1"/>
  <c r="O23" i="21"/>
  <c r="O22" i="21" s="1"/>
  <c r="U80" i="4"/>
  <c r="U93" i="4"/>
  <c r="U32" i="4"/>
  <c r="U58" i="4"/>
  <c r="U45" i="4"/>
  <c r="V60" i="4" s="1"/>
  <c r="C21" i="4"/>
  <c r="C20" i="4"/>
  <c r="C14" i="4"/>
  <c r="C15" i="4"/>
  <c r="B2" i="32"/>
  <c r="C2" i="32"/>
  <c r="D4" i="39"/>
  <c r="E4" i="39" s="1" a="1"/>
  <c r="V92" i="4"/>
  <c r="V79" i="4"/>
  <c r="V57" i="4"/>
  <c r="V44" i="4"/>
  <c r="E96" i="4"/>
  <c r="G96" i="4"/>
  <c r="K53" i="5"/>
  <c r="H13" i="4"/>
  <c r="C12" i="4"/>
  <c r="H12" i="4"/>
  <c r="F13" i="4"/>
  <c r="F12" i="4"/>
  <c r="C13" i="4"/>
  <c r="G53" i="5"/>
  <c r="E61" i="4"/>
  <c r="E71" i="4" s="1"/>
  <c r="E35" i="4"/>
  <c r="E48" i="4"/>
  <c r="E83" i="4"/>
  <c r="G48" i="4"/>
  <c r="G61" i="4"/>
  <c r="G71" i="4" s="1"/>
  <c r="G83" i="4"/>
  <c r="G35" i="4"/>
  <c r="E22" i="27"/>
  <c r="D22" i="27"/>
  <c r="D31" i="18"/>
  <c r="D13" i="4"/>
  <c r="D12" i="4"/>
  <c r="Q12" i="12"/>
  <c r="Q10" i="12"/>
  <c r="Q15" i="12"/>
  <c r="Q28" i="12"/>
  <c r="Q27" i="12"/>
  <c r="Q14" i="12"/>
  <c r="Q13" i="12"/>
  <c r="Q9" i="12"/>
  <c r="Q30" i="12"/>
  <c r="Q29" i="12"/>
  <c r="Q32" i="12"/>
  <c r="Q31" i="12"/>
  <c r="Q16" i="12"/>
  <c r="Q34" i="12"/>
  <c r="Q33" i="12"/>
  <c r="Q18" i="12"/>
  <c r="Q17" i="12"/>
  <c r="Q36" i="12"/>
  <c r="Q35" i="12"/>
  <c r="Q20" i="12"/>
  <c r="Q19" i="12"/>
  <c r="R6" i="12"/>
  <c r="Q40" i="12"/>
  <c r="Q39" i="12"/>
  <c r="Q24" i="12"/>
  <c r="Q23" i="12"/>
  <c r="Q7" i="12"/>
  <c r="Q41" i="12"/>
  <c r="Q26" i="12"/>
  <c r="Q25" i="12"/>
  <c r="Q11" i="12"/>
  <c r="Q8" i="12"/>
  <c r="Q38" i="12"/>
  <c r="Q22" i="12"/>
  <c r="Q21" i="12"/>
  <c r="Q37" i="12"/>
  <c r="L42" i="12"/>
  <c r="P42" i="12"/>
  <c r="J71" i="16" s="1"/>
  <c r="C7" i="48" l="1"/>
  <c r="C6" i="48"/>
  <c r="C5" i="48"/>
  <c r="C4" i="48"/>
  <c r="C3" i="48"/>
  <c r="D14" i="32"/>
  <c r="C14" i="32"/>
  <c r="B14" i="32"/>
  <c r="V58" i="4"/>
  <c r="V95" i="4"/>
  <c r="V80" i="4"/>
  <c r="V93" i="4"/>
  <c r="E13" i="18"/>
  <c r="V47" i="4"/>
  <c r="F13" i="18"/>
  <c r="C67" i="4"/>
  <c r="C13" i="18"/>
  <c r="C69" i="4"/>
  <c r="U69" i="4" s="1"/>
  <c r="J39" i="16" s="1"/>
  <c r="C68" i="4"/>
  <c r="U68" i="4" s="1"/>
  <c r="E4" i="39"/>
  <c r="G65" i="4"/>
  <c r="G66" i="4" s="1"/>
  <c r="E65" i="4"/>
  <c r="E66" i="4" s="1"/>
  <c r="F96" i="4"/>
  <c r="H96" i="4"/>
  <c r="C35" i="4"/>
  <c r="C96" i="4"/>
  <c r="D96" i="4"/>
  <c r="C48" i="4"/>
  <c r="F83" i="4"/>
  <c r="F48" i="4"/>
  <c r="F61" i="4"/>
  <c r="F71" i="4" s="1"/>
  <c r="F35" i="4"/>
  <c r="C83" i="4"/>
  <c r="C61" i="4"/>
  <c r="H83" i="4"/>
  <c r="H35" i="4"/>
  <c r="H61" i="4"/>
  <c r="H71" i="4" s="1"/>
  <c r="H48" i="4"/>
  <c r="E31" i="18"/>
  <c r="D83" i="4"/>
  <c r="D35" i="4"/>
  <c r="D48" i="4"/>
  <c r="D61" i="4"/>
  <c r="D71" i="4" s="1"/>
  <c r="R14" i="12"/>
  <c r="R40" i="12"/>
  <c r="R38" i="12"/>
  <c r="R36" i="12"/>
  <c r="R34" i="12"/>
  <c r="R32" i="12"/>
  <c r="R30" i="12"/>
  <c r="R28" i="12"/>
  <c r="R26" i="12"/>
  <c r="R24" i="12"/>
  <c r="R22" i="12"/>
  <c r="R20" i="12"/>
  <c r="R18" i="12"/>
  <c r="R16" i="12"/>
  <c r="R7" i="12"/>
  <c r="R41" i="12"/>
  <c r="R39" i="12"/>
  <c r="R37" i="12"/>
  <c r="R35" i="12"/>
  <c r="R33" i="12"/>
  <c r="R31" i="12"/>
  <c r="R29" i="12"/>
  <c r="R27" i="12"/>
  <c r="R25" i="12"/>
  <c r="R23" i="12"/>
  <c r="R21" i="12"/>
  <c r="R19" i="12"/>
  <c r="R17" i="12"/>
  <c r="R8" i="12"/>
  <c r="R15" i="12"/>
  <c r="S6" i="12"/>
  <c r="R12" i="12"/>
  <c r="R11" i="12"/>
  <c r="R13" i="12"/>
  <c r="R10" i="12"/>
  <c r="R9" i="12"/>
  <c r="Q42" i="12"/>
  <c r="K71" i="16" s="1"/>
  <c r="E43" i="12"/>
  <c r="C2" i="48" l="1"/>
  <c r="I39" i="16"/>
  <c r="H39" i="16" s="1"/>
  <c r="H36" i="16" s="1"/>
  <c r="H30" i="16" s="1"/>
  <c r="J36" i="16"/>
  <c r="J30" i="16" s="1"/>
  <c r="K39" i="16"/>
  <c r="K36" i="16" s="1"/>
  <c r="K30" i="16" s="1"/>
  <c r="F24" i="18" s="1"/>
  <c r="C4" i="32"/>
  <c r="B4" i="32"/>
  <c r="C71" i="4"/>
  <c r="G4" i="39" s="1" a="1"/>
  <c r="G4" i="39" s="1"/>
  <c r="U67" i="4"/>
  <c r="F65" i="4"/>
  <c r="F66" i="4" s="1"/>
  <c r="H65" i="4"/>
  <c r="H66" i="4" s="1"/>
  <c r="D65" i="4"/>
  <c r="D66" i="4" s="1"/>
  <c r="U96" i="4"/>
  <c r="U83" i="4"/>
  <c r="U61" i="4"/>
  <c r="U71" i="4" s="1"/>
  <c r="U48" i="4"/>
  <c r="C65" i="4"/>
  <c r="V45" i="4"/>
  <c r="U35" i="4"/>
  <c r="U27" i="4" s="1"/>
  <c r="F31" i="18"/>
  <c r="N84" i="4"/>
  <c r="O84" i="4"/>
  <c r="L84" i="4"/>
  <c r="J84" i="4"/>
  <c r="Q84" i="4"/>
  <c r="F84" i="4"/>
  <c r="P84" i="4"/>
  <c r="R84" i="4"/>
  <c r="M84" i="4"/>
  <c r="I84" i="4"/>
  <c r="H84" i="4"/>
  <c r="D84" i="4"/>
  <c r="E84" i="4"/>
  <c r="G84" i="4"/>
  <c r="K84" i="4"/>
  <c r="S11" i="12"/>
  <c r="S9" i="12"/>
  <c r="T6" i="12"/>
  <c r="S12" i="12"/>
  <c r="S10" i="12"/>
  <c r="S30" i="12"/>
  <c r="S29" i="12"/>
  <c r="S15" i="12"/>
  <c r="S32" i="12"/>
  <c r="S31" i="12"/>
  <c r="S16" i="12"/>
  <c r="S34" i="12"/>
  <c r="S33" i="12"/>
  <c r="S18" i="12"/>
  <c r="S17" i="12"/>
  <c r="S36" i="12"/>
  <c r="S35" i="12"/>
  <c r="S20" i="12"/>
  <c r="S19" i="12"/>
  <c r="S38" i="12"/>
  <c r="S37" i="12"/>
  <c r="S22" i="12"/>
  <c r="S21" i="12"/>
  <c r="S41" i="12"/>
  <c r="S26" i="12"/>
  <c r="S25" i="12"/>
  <c r="S13" i="12"/>
  <c r="S8" i="12"/>
  <c r="S28" i="12"/>
  <c r="S27" i="12"/>
  <c r="S14" i="12"/>
  <c r="S39" i="12"/>
  <c r="S23" i="12"/>
  <c r="S40" i="12"/>
  <c r="S7" i="12"/>
  <c r="S24" i="12"/>
  <c r="R42" i="12"/>
  <c r="D20" i="4" a="1"/>
  <c r="D21" i="4" a="1"/>
  <c r="G21" i="4" a="1"/>
  <c r="G20" i="4" a="1"/>
  <c r="F20" i="4" a="1"/>
  <c r="E21" i="4" a="1"/>
  <c r="H21" i="4" a="1"/>
  <c r="F21" i="4" a="1"/>
  <c r="E20" i="4" a="1"/>
  <c r="H20" i="4" a="1"/>
  <c r="I36" i="16" l="1"/>
  <c r="I30" i="16" s="1"/>
  <c r="I18" i="16" s="1"/>
  <c r="C24" i="18"/>
  <c r="C35" i="18" s="1"/>
  <c r="H18" i="16"/>
  <c r="E24" i="18"/>
  <c r="E35" i="18" s="1"/>
  <c r="J18" i="16"/>
  <c r="F35" i="18"/>
  <c r="K18" i="16"/>
  <c r="D12" i="32"/>
  <c r="C12" i="32"/>
  <c r="B12" i="32"/>
  <c r="C66" i="4"/>
  <c r="F4" i="39" s="1" a="1"/>
  <c r="H20" i="4"/>
  <c r="D20" i="4"/>
  <c r="H21" i="4"/>
  <c r="E20" i="4"/>
  <c r="G20" i="4"/>
  <c r="E21" i="4"/>
  <c r="F20" i="4"/>
  <c r="D21" i="4"/>
  <c r="G21" i="4"/>
  <c r="F21" i="4"/>
  <c r="U65" i="4"/>
  <c r="V96" i="4"/>
  <c r="U88" i="4"/>
  <c r="V83" i="4"/>
  <c r="U75" i="4"/>
  <c r="V61" i="4"/>
  <c r="U53" i="4"/>
  <c r="U40" i="4"/>
  <c r="V40" i="4" s="1"/>
  <c r="V48" i="4"/>
  <c r="E14" i="18"/>
  <c r="E16" i="18" s="1"/>
  <c r="E11" i="18" s="1"/>
  <c r="D13" i="18"/>
  <c r="C14" i="18"/>
  <c r="F14" i="18"/>
  <c r="F16" i="18" s="1"/>
  <c r="D14" i="18"/>
  <c r="S42" i="12"/>
  <c r="T40" i="12"/>
  <c r="U40" i="12" s="1"/>
  <c r="V40" i="12" s="1"/>
  <c r="T38" i="12"/>
  <c r="U38" i="12" s="1"/>
  <c r="V38" i="12" s="1"/>
  <c r="T36" i="12"/>
  <c r="U36" i="12" s="1"/>
  <c r="V36" i="12" s="1"/>
  <c r="T34" i="12"/>
  <c r="U34" i="12" s="1"/>
  <c r="V34" i="12" s="1"/>
  <c r="T32" i="12"/>
  <c r="U32" i="12" s="1"/>
  <c r="V32" i="12" s="1"/>
  <c r="T30" i="12"/>
  <c r="U30" i="12" s="1"/>
  <c r="V30" i="12" s="1"/>
  <c r="T28" i="12"/>
  <c r="U28" i="12" s="1"/>
  <c r="V28" i="12" s="1"/>
  <c r="T26" i="12"/>
  <c r="U26" i="12" s="1"/>
  <c r="V26" i="12" s="1"/>
  <c r="T24" i="12"/>
  <c r="U24" i="12" s="1"/>
  <c r="V24" i="12" s="1"/>
  <c r="T22" i="12"/>
  <c r="U22" i="12" s="1"/>
  <c r="V22" i="12" s="1"/>
  <c r="T20" i="12"/>
  <c r="U20" i="12" s="1"/>
  <c r="V20" i="12" s="1"/>
  <c r="T18" i="12"/>
  <c r="U18" i="12" s="1"/>
  <c r="V18" i="12" s="1"/>
  <c r="T16" i="12"/>
  <c r="U16" i="12" s="1"/>
  <c r="V16" i="12" s="1"/>
  <c r="T7" i="12"/>
  <c r="T13" i="12"/>
  <c r="U13" i="12" s="1"/>
  <c r="V13" i="12" s="1"/>
  <c r="T14" i="12"/>
  <c r="U14" i="12" s="1"/>
  <c r="V14" i="12" s="1"/>
  <c r="T31" i="12"/>
  <c r="U31" i="12" s="1"/>
  <c r="V31" i="12" s="1"/>
  <c r="T33" i="12"/>
  <c r="U33" i="12" s="1"/>
  <c r="V33" i="12" s="1"/>
  <c r="T17" i="12"/>
  <c r="U17" i="12" s="1"/>
  <c r="V17" i="12" s="1"/>
  <c r="T35" i="12"/>
  <c r="U35" i="12" s="1"/>
  <c r="V35" i="12" s="1"/>
  <c r="T19" i="12"/>
  <c r="U19" i="12" s="1"/>
  <c r="V19" i="12" s="1"/>
  <c r="U6" i="12"/>
  <c r="T37" i="12"/>
  <c r="U37" i="12" s="1"/>
  <c r="V37" i="12" s="1"/>
  <c r="T21" i="12"/>
  <c r="U21" i="12" s="1"/>
  <c r="V21" i="12" s="1"/>
  <c r="T39" i="12"/>
  <c r="U39" i="12" s="1"/>
  <c r="V39" i="12" s="1"/>
  <c r="T23" i="12"/>
  <c r="U23" i="12" s="1"/>
  <c r="V23" i="12" s="1"/>
  <c r="T27" i="12"/>
  <c r="U27" i="12" s="1"/>
  <c r="V27" i="12" s="1"/>
  <c r="T10" i="12"/>
  <c r="U10" i="12" s="1"/>
  <c r="V10" i="12" s="1"/>
  <c r="T9" i="12"/>
  <c r="U9" i="12" s="1"/>
  <c r="V9" i="12" s="1"/>
  <c r="T29" i="12"/>
  <c r="U29" i="12" s="1"/>
  <c r="V29" i="12" s="1"/>
  <c r="T15" i="12"/>
  <c r="T8" i="12"/>
  <c r="U8" i="12" s="1"/>
  <c r="V8" i="12" s="1"/>
  <c r="T12" i="12"/>
  <c r="U12" i="12" s="1"/>
  <c r="V12" i="12" s="1"/>
  <c r="T25" i="12"/>
  <c r="U25" i="12" s="1"/>
  <c r="V25" i="12" s="1"/>
  <c r="T11" i="12"/>
  <c r="U11" i="12" s="1"/>
  <c r="V11" i="12" s="1"/>
  <c r="T41" i="12"/>
  <c r="U41" i="12" s="1"/>
  <c r="V41" i="12" s="1"/>
  <c r="D24" i="18" l="1"/>
  <c r="D35" i="18" s="1"/>
  <c r="D53" i="18" s="1"/>
  <c r="D54" i="18" s="1"/>
  <c r="C53" i="18"/>
  <c r="C54" i="18" s="1"/>
  <c r="G56" i="44"/>
  <c r="G57" i="44" s="1"/>
  <c r="K56" i="42"/>
  <c r="K57" i="42" s="1"/>
  <c r="G56" i="47"/>
  <c r="G57" i="47" s="1"/>
  <c r="G56" i="42"/>
  <c r="G57" i="42" s="1"/>
  <c r="G56" i="41"/>
  <c r="G57" i="41" s="1"/>
  <c r="K56" i="47"/>
  <c r="K57" i="47" s="1"/>
  <c r="K56" i="43"/>
  <c r="K57" i="43" s="1"/>
  <c r="K56" i="46"/>
  <c r="K57" i="46" s="1"/>
  <c r="G56" i="43"/>
  <c r="G57" i="43" s="1"/>
  <c r="K56" i="41"/>
  <c r="K57" i="41" s="1"/>
  <c r="K56" i="44"/>
  <c r="K57" i="44" s="1"/>
  <c r="G56" i="45"/>
  <c r="G57" i="45" s="1"/>
  <c r="K56" i="45"/>
  <c r="K57" i="45" s="1"/>
  <c r="G56" i="46"/>
  <c r="G57" i="46" s="1"/>
  <c r="K56" i="5"/>
  <c r="K57" i="5" s="1"/>
  <c r="G56" i="5"/>
  <c r="G57" i="5" s="1"/>
  <c r="B9" i="32"/>
  <c r="C9" i="32"/>
  <c r="D9" i="32"/>
  <c r="C3" i="32"/>
  <c r="B3" i="32"/>
  <c r="D11" i="32"/>
  <c r="C11" i="32"/>
  <c r="B11" i="32"/>
  <c r="C10" i="32"/>
  <c r="B10" i="32"/>
  <c r="D10" i="32"/>
  <c r="D6" i="32"/>
  <c r="D3" i="32"/>
  <c r="D7" i="32"/>
  <c r="D4" i="32"/>
  <c r="D5" i="32"/>
  <c r="F4" i="39"/>
  <c r="V88" i="4"/>
  <c r="V75" i="4"/>
  <c r="V53" i="4"/>
  <c r="E53" i="18"/>
  <c r="E54" i="18" s="1"/>
  <c r="C16" i="18"/>
  <c r="C11" i="18" s="1"/>
  <c r="C37" i="18" s="1"/>
  <c r="C40" i="18" s="1"/>
  <c r="B53" i="27" s="1"/>
  <c r="D16" i="18"/>
  <c r="D11" i="18" s="1"/>
  <c r="F11" i="18"/>
  <c r="F37" i="18" s="1"/>
  <c r="F40" i="18" s="1"/>
  <c r="F53" i="18"/>
  <c r="F54" i="18" s="1"/>
  <c r="E37" i="18"/>
  <c r="E40" i="18" s="1"/>
  <c r="U15" i="12"/>
  <c r="V15" i="12" s="1"/>
  <c r="T42" i="12"/>
  <c r="U7" i="12"/>
  <c r="D2" i="32" l="1"/>
  <c r="U42" i="12"/>
  <c r="V42" i="12" s="1"/>
  <c r="D37" i="18"/>
  <c r="D40" i="18" s="1"/>
  <c r="C53" i="27" s="1"/>
  <c r="B7" i="32"/>
  <c r="C7" i="32"/>
  <c r="D13" i="32"/>
  <c r="C13" i="32"/>
  <c r="B13" i="32"/>
  <c r="B24" i="27"/>
  <c r="E53" i="27"/>
  <c r="E54" i="27" s="1"/>
  <c r="B26" i="27"/>
  <c r="B27" i="27"/>
  <c r="D27" i="27"/>
  <c r="D53" i="27"/>
  <c r="C25" i="27"/>
  <c r="B25" i="27"/>
  <c r="B54" i="27"/>
  <c r="B55" i="27"/>
  <c r="V7" i="12"/>
  <c r="B8" i="32" l="1"/>
  <c r="D8" i="32"/>
  <c r="C8" i="32"/>
  <c r="E55" i="27"/>
  <c r="E56" i="27" s="1"/>
  <c r="E58" i="27" s="1"/>
  <c r="F41" i="18" s="1"/>
  <c r="F43" i="18" s="1"/>
  <c r="D25" i="27"/>
  <c r="B28" i="27"/>
  <c r="B42" i="27" s="1"/>
  <c r="D26" i="27"/>
  <c r="D24" i="27"/>
  <c r="C24" i="27"/>
  <c r="C27" i="27"/>
  <c r="C26" i="27"/>
  <c r="B56" i="27"/>
  <c r="B58" i="27" s="1"/>
  <c r="C41" i="18" s="1"/>
  <c r="C43" i="18" s="1"/>
  <c r="C54" i="27"/>
  <c r="C55" i="27"/>
  <c r="D54" i="27"/>
  <c r="D55" i="27"/>
  <c r="E24" i="27"/>
  <c r="E25" i="27"/>
  <c r="E27" i="27"/>
  <c r="E26" i="27"/>
  <c r="C22" i="32" l="1"/>
  <c r="F6" i="32" s="1"/>
  <c r="C20" i="32"/>
  <c r="C23" i="32"/>
  <c r="F7" i="32" s="1"/>
  <c r="C24" i="32"/>
  <c r="G2" i="32" s="1"/>
  <c r="C21" i="32"/>
  <c r="C25" i="32"/>
  <c r="G3" i="32" s="1"/>
  <c r="C46" i="18"/>
  <c r="C50" i="18" s="1"/>
  <c r="C61" i="18" s="1"/>
  <c r="C70" i="18" s="1"/>
  <c r="D28" i="27"/>
  <c r="D42" i="27" s="1"/>
  <c r="D56" i="27"/>
  <c r="D58" i="27" s="1"/>
  <c r="E41" i="18" s="1"/>
  <c r="E43" i="18" s="1"/>
  <c r="C28" i="27"/>
  <c r="C42" i="27" s="1"/>
  <c r="C56" i="27"/>
  <c r="C58" i="27" s="1"/>
  <c r="D41" i="18" s="1"/>
  <c r="D43" i="18" s="1"/>
  <c r="E28" i="27"/>
  <c r="E42" i="27" s="1"/>
  <c r="F2" i="32" l="1"/>
  <c r="F3" i="32"/>
  <c r="G6" i="32"/>
  <c r="G7" i="32"/>
  <c r="C71" i="18"/>
  <c r="C65" i="18" a="1"/>
  <c r="D67" i="18" s="1"/>
  <c r="F46" i="18"/>
  <c r="F50" i="18" s="1"/>
  <c r="F61" i="18" s="1"/>
  <c r="F70" i="18" s="1"/>
  <c r="E46" i="18"/>
  <c r="E50" i="18" s="1"/>
  <c r="E61" i="18" s="1"/>
  <c r="E70" i="18" s="1"/>
  <c r="F71" i="18" l="1"/>
  <c r="E71" i="18"/>
  <c r="C65" i="18"/>
  <c r="C67" i="18" s="1"/>
  <c r="F67" i="18"/>
  <c r="E67" i="18"/>
  <c r="D46" i="18"/>
  <c r="D50" i="18" l="1"/>
  <c r="D61" i="18" l="1"/>
  <c r="D70" i="18" s="1"/>
  <c r="D71" i="18" l="1"/>
  <c r="Q10" i="21"/>
  <c r="Q25" i="21" s="1"/>
  <c r="I10" i="21"/>
  <c r="I25" i="21" s="1"/>
  <c r="G25" i="21"/>
  <c r="G10" i="21"/>
  <c r="O25" i="21"/>
  <c r="O10" i="21"/>
  <c r="J10" i="21"/>
  <c r="J25" i="21" s="1"/>
  <c r="L10" i="21"/>
  <c r="L25" i="21" s="1"/>
  <c r="P10" i="21"/>
  <c r="P25" i="21" s="1"/>
  <c r="H25" i="21"/>
  <c r="H10" i="21"/>
  <c r="M10" i="21"/>
  <c r="M25" i="21" s="1"/>
  <c r="K10" i="21"/>
  <c r="K25" i="21" s="1"/>
  <c r="N10" i="21"/>
  <c r="N25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Thiago Nyssens</author>
  </authors>
  <commentList>
    <comment ref="Y51" authorId="0" shapeId="0" xr:uid="{86F16915-B4EF-4792-AF0F-557E7EE310F8}">
      <text>
        <r>
          <rPr>
            <b/>
            <sz val="9"/>
            <color indexed="81"/>
            <rFont val="Tahoma"/>
            <family val="2"/>
          </rPr>
          <t>Thiago Nyssens:</t>
        </r>
        <r>
          <rPr>
            <sz val="9"/>
            <color indexed="81"/>
            <rFont val="Tahoma"/>
            <family val="2"/>
          </rPr>
          <t xml:space="preserve">
Doit égaler T16 = heures annuelles de production planifiée</t>
        </r>
      </text>
    </comment>
    <comment ref="Y52" authorId="0" shapeId="0" xr:uid="{31937E7E-AA7B-4DDF-A993-1833B885169C}">
      <text>
        <r>
          <rPr>
            <b/>
            <sz val="9"/>
            <color indexed="81"/>
            <rFont val="Tahoma"/>
            <family val="2"/>
          </rPr>
          <t>Thiago Nyssens:</t>
        </r>
        <r>
          <rPr>
            <sz val="9"/>
            <color indexed="81"/>
            <rFont val="Tahoma"/>
            <family val="2"/>
          </rPr>
          <t xml:space="preserve">
Doit égaler T16 = heures annuelles de production planifiée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<sst xmlns="http://schemas.openxmlformats.org/spreadsheetml/2006/main" count="1688" uniqueCount="704">
  <si>
    <t>Onglet</t>
  </si>
  <si>
    <t>Utilité</t>
  </si>
  <si>
    <t>A faire</t>
  </si>
  <si>
    <t>Taux TVA :</t>
  </si>
  <si>
    <t>Article</t>
  </si>
  <si>
    <t>Fournisseur</t>
  </si>
  <si>
    <t>Unité conditionnement</t>
  </si>
  <si>
    <t>Coût d'achat HT à l'unité</t>
  </si>
  <si>
    <t>Unités nécessaires</t>
  </si>
  <si>
    <t>Prix de vente HT</t>
  </si>
  <si>
    <t>Marge brute</t>
  </si>
  <si>
    <t>Taux de marge</t>
  </si>
  <si>
    <t>Coefficient de marge</t>
  </si>
  <si>
    <t xml:space="preserve">Ratio achat vente </t>
  </si>
  <si>
    <t>Tomates roma</t>
  </si>
  <si>
    <t>Ail</t>
  </si>
  <si>
    <t>Basilic</t>
  </si>
  <si>
    <t>Huile Olive</t>
  </si>
  <si>
    <t>Interbio</t>
  </si>
  <si>
    <t xml:space="preserve">Bocal verre </t>
  </si>
  <si>
    <t>Grossiste</t>
  </si>
  <si>
    <t>Unité</t>
  </si>
  <si>
    <t>COMMENTAIRES</t>
  </si>
  <si>
    <t>Nom préparation</t>
  </si>
  <si>
    <t>Prix de vente B2C (TVAC)</t>
  </si>
  <si>
    <t>Prix de vente B2B (HTVA)</t>
  </si>
  <si>
    <t>B2C</t>
  </si>
  <si>
    <t>Etiquette</t>
  </si>
  <si>
    <t>Rack de 1000</t>
  </si>
  <si>
    <t>SOUSTOTAL INGREDIENTS</t>
  </si>
  <si>
    <t>Proportion SOUSTOTAL</t>
  </si>
  <si>
    <t>SOUSTOTAL CONSOMMABLES</t>
  </si>
  <si>
    <t>Prix de vente B2C (HTVA)</t>
  </si>
  <si>
    <t>Prix de vente B2B (TVAC)</t>
  </si>
  <si>
    <t>Taux de perte</t>
  </si>
  <si>
    <t>Nombre de portions  théoriques par batch</t>
  </si>
  <si>
    <t>Nombre de portions effectives par batch</t>
  </si>
  <si>
    <t>Fiche technique Transformation</t>
  </si>
  <si>
    <t>Couvercle Twist Off</t>
  </si>
  <si>
    <t>ID Produit</t>
  </si>
  <si>
    <t>#1</t>
  </si>
  <si>
    <t xml:space="preserve">TEMPS DE PREPARATION </t>
  </si>
  <si>
    <t xml:space="preserve">Cuisson </t>
  </si>
  <si>
    <t>Mise en bocal</t>
  </si>
  <si>
    <t>Sterilisation</t>
  </si>
  <si>
    <t>Découpe</t>
  </si>
  <si>
    <t>Lavage</t>
  </si>
  <si>
    <t>Durée totale BATCH</t>
  </si>
  <si>
    <t>Lave vaisselle</t>
  </si>
  <si>
    <t>Internet</t>
  </si>
  <si>
    <r>
      <t>Description</t>
    </r>
    <r>
      <rPr>
        <b/>
        <sz val="10"/>
        <rFont val="Calibri Light"/>
        <family val="2"/>
      </rPr>
      <t xml:space="preserve"> </t>
    </r>
    <r>
      <rPr>
        <sz val="10"/>
        <rFont val="Calibri Light"/>
        <family val="2"/>
      </rPr>
      <t>(exemples)</t>
    </r>
  </si>
  <si>
    <t>Autre</t>
  </si>
  <si>
    <t>IMMOBILISATIONS INCORPORELLES</t>
  </si>
  <si>
    <t>Site internet/création logo</t>
  </si>
  <si>
    <t>Fonds de commerce</t>
  </si>
  <si>
    <t>Frais enregistrement marque</t>
  </si>
  <si>
    <t>Autre (licences, savoir-faire, droit d'auteurs, frais de développement, etc)</t>
  </si>
  <si>
    <t>Achat immeuble</t>
  </si>
  <si>
    <t>Enseigne/lettrage</t>
  </si>
  <si>
    <t>Carrelage, travaux électricité, éclairage, ventillation, etc</t>
  </si>
  <si>
    <t>Peintures, etc</t>
  </si>
  <si>
    <t>Achat occasion</t>
  </si>
  <si>
    <r>
      <t xml:space="preserve">IMMOBILISATIONS DÉTENUES EN LOCATION-FINANCEMENT </t>
    </r>
    <r>
      <rPr>
        <sz val="10"/>
        <rFont val="Calibri Light"/>
        <family val="2"/>
      </rPr>
      <t>(LEASING)</t>
    </r>
    <r>
      <rPr>
        <b/>
        <sz val="10"/>
        <rFont val="Calibri Light"/>
        <family val="2"/>
      </rPr>
      <t xml:space="preserve"> ET DROITS SIMILAIRES </t>
    </r>
    <r>
      <rPr>
        <sz val="10"/>
        <rFont val="Calibri Light"/>
        <family val="2"/>
      </rPr>
      <t>(RENTING, ETC)</t>
    </r>
  </si>
  <si>
    <t>Année achat</t>
  </si>
  <si>
    <t>IMMOBILIER</t>
  </si>
  <si>
    <t>INSTALLATIONS</t>
  </si>
  <si>
    <t>MONTANT HTVA</t>
  </si>
  <si>
    <t>MACHINES ET OUTILLAGE</t>
  </si>
  <si>
    <t>MOBILIER PROFESSIONNEL</t>
  </si>
  <si>
    <t>MATERIEL DE BUREAU ET INFORMATIQUE</t>
  </si>
  <si>
    <t>MATERIEL ROULANT</t>
  </si>
  <si>
    <t>Catégorie investissement</t>
  </si>
  <si>
    <t>Machines cuisine</t>
  </si>
  <si>
    <t>Autoclave</t>
  </si>
  <si>
    <t>Achat neuf - camio</t>
  </si>
  <si>
    <t>Légende pour compléter le fichier:</t>
  </si>
  <si>
    <r>
      <t xml:space="preserve">sont calculées automatiquement et </t>
    </r>
    <r>
      <rPr>
        <u/>
        <sz val="10"/>
        <color rgb="FFFF0000"/>
        <rFont val="Calibri Light"/>
        <family val="2"/>
      </rPr>
      <t>ne sont pas</t>
    </r>
    <r>
      <rPr>
        <sz val="10"/>
        <rFont val="Calibri Light"/>
        <family val="2"/>
      </rPr>
      <t xml:space="preserve"> à compléter</t>
    </r>
  </si>
  <si>
    <t>doivent être complétée par vos données chiffrées</t>
  </si>
  <si>
    <t>sont précomplétées mais modifiables (! Certaines contiennent des formules compliquées, notamment l'onglet de trésorerie)</t>
  </si>
  <si>
    <t>incolores : compléments d'informations sont à compléter manuellement</t>
  </si>
  <si>
    <t>Année en cours</t>
  </si>
  <si>
    <t>VALEUR RESIDUELLE année en cours</t>
  </si>
  <si>
    <t>année en cours</t>
  </si>
  <si>
    <t>Étiquettes de lignes</t>
  </si>
  <si>
    <t>Total général</t>
  </si>
  <si>
    <t>Somme de MONTANT HTVA</t>
  </si>
  <si>
    <t>Étiquettes de colonnes</t>
  </si>
  <si>
    <t>A titre indicatif - Taux amortissement</t>
  </si>
  <si>
    <t>Durée vie : années</t>
  </si>
  <si>
    <t>Investissements immatériels</t>
  </si>
  <si>
    <t>Immeuble (achat)</t>
  </si>
  <si>
    <t>Matériel activité neuf</t>
  </si>
  <si>
    <t>Matériel roulant neuf</t>
  </si>
  <si>
    <t>Matériel roulant occassion</t>
  </si>
  <si>
    <t>Matériel informatique neuf</t>
  </si>
  <si>
    <t>Mobilier professionnel neuf</t>
  </si>
  <si>
    <t>Total charges fixes professionnelles</t>
  </si>
  <si>
    <t>PCMN</t>
  </si>
  <si>
    <t>Type de charges</t>
  </si>
  <si>
    <t>Commentaires</t>
  </si>
  <si>
    <t>Charges locatives et d'entretien</t>
  </si>
  <si>
    <t>Locations, charges locatives et leasing</t>
  </si>
  <si>
    <t>Bâtiments (commerce, garage, partie professionnelle)</t>
  </si>
  <si>
    <t xml:space="preserve"> Matériel (machines, outillage, etc.)</t>
  </si>
  <si>
    <t>Véhicule professionnel</t>
  </si>
  <si>
    <t>Entretien</t>
  </si>
  <si>
    <t>Bâtiment (commerce, garage, partie professionnelle)</t>
  </si>
  <si>
    <t>Matériel (machines, outillage, etc.)</t>
  </si>
  <si>
    <t>Fournitures diverses et énergie</t>
  </si>
  <si>
    <t>Papeterie et matériel de bureau (y compris entretien)</t>
  </si>
  <si>
    <t>Livres, documentation, abonnements, formations</t>
  </si>
  <si>
    <t>Petit matériel</t>
  </si>
  <si>
    <t>Produits d'entretien</t>
  </si>
  <si>
    <t>Produits de consommation</t>
  </si>
  <si>
    <t>Consommation d'eau et d'énergie</t>
  </si>
  <si>
    <t>Mazout de chauffage</t>
  </si>
  <si>
    <t>Rétribution de tiers</t>
  </si>
  <si>
    <t>Commissions (sur ventes)</t>
  </si>
  <si>
    <t>Honoraires</t>
  </si>
  <si>
    <t>Honoraires comptable ou expert-comptable</t>
  </si>
  <si>
    <t>Autres honoraires (avocats, experts, etc.)</t>
  </si>
  <si>
    <t>Organismes de prestation de services</t>
  </si>
  <si>
    <t>Secrétariat social</t>
  </si>
  <si>
    <t>Prestations informaticien, graphiste, formateurs, etc.</t>
  </si>
  <si>
    <t>Contrôle technique véhicule professionnel</t>
  </si>
  <si>
    <t>Assurances autres que pour le personnel</t>
  </si>
  <si>
    <t>Incendie, vol, tempête, perte revenus, etc.</t>
  </si>
  <si>
    <t>Assurance civile RC</t>
  </si>
  <si>
    <t>Assurance risques professionnels</t>
  </si>
  <si>
    <t>Autres assurances (emprunts, juridique, transport)</t>
  </si>
  <si>
    <t>Frais de transport (sur les ventes/les achats)</t>
  </si>
  <si>
    <t>Poste - Frais communic. - Frais déplacement</t>
  </si>
  <si>
    <t>Frais postaux</t>
  </si>
  <si>
    <t xml:space="preserve">Téléphone </t>
  </si>
  <si>
    <t>GSM</t>
  </si>
  <si>
    <t>Frais de déplacement (carburant)</t>
  </si>
  <si>
    <t>Autres frais de déplacement (hôtel, parking)</t>
  </si>
  <si>
    <t>Publicité, annonces, foires, expositions</t>
  </si>
  <si>
    <t>Cotisations fédération professionnelle</t>
  </si>
  <si>
    <t>Rémunération et charges de l'indépendant / gérant(s)</t>
  </si>
  <si>
    <t>SOCIETE - Emoluments gérant indép. (cotisations sociales incluses)</t>
  </si>
  <si>
    <t>Assurance-vie</t>
  </si>
  <si>
    <t>Autres assurances</t>
  </si>
  <si>
    <t>Rémunération et charges des salariés</t>
  </si>
  <si>
    <t>Amortissements (selon investissements)</t>
  </si>
  <si>
    <t>Autres charges d'exploitation-taxes</t>
  </si>
  <si>
    <t>Précompte immobilier</t>
  </si>
  <si>
    <t>Taxe de circulation véhicule professionnel</t>
  </si>
  <si>
    <t>Autres taxes (égoûts, terrasse, environ., accises, Sabam)</t>
  </si>
  <si>
    <t>SOCIETE - Cotisations sociales société</t>
  </si>
  <si>
    <t>Charges financières</t>
  </si>
  <si>
    <t>Intérêts sur emprunts</t>
  </si>
  <si>
    <t>Frais de rappel, huissiers, etc.</t>
  </si>
  <si>
    <t>Frais bancaires</t>
  </si>
  <si>
    <t>Autres charges - divers</t>
  </si>
  <si>
    <t>Imprévus</t>
  </si>
  <si>
    <t>Commentaires/ Explications</t>
  </si>
  <si>
    <t>Montant annel HTVA</t>
  </si>
  <si>
    <t>ANNEE</t>
  </si>
  <si>
    <t>Capsuleuse-sertisseuse</t>
  </si>
  <si>
    <t>Empoteuse</t>
  </si>
  <si>
    <t>Sous-videuse</t>
  </si>
  <si>
    <t>Sechoir armoire (50kg)</t>
  </si>
  <si>
    <t>Marmite chauffe directe (50</t>
  </si>
  <si>
    <t>Catégorie investissment</t>
  </si>
  <si>
    <t>Durée amort.</t>
  </si>
  <si>
    <t>Requalification autoclave (tous les 10 ans)</t>
  </si>
  <si>
    <t>Nattoyage</t>
  </si>
  <si>
    <t>TEMPS MACHINE (min)</t>
  </si>
  <si>
    <t>Type Machine utilisé (CV DIRECTES)</t>
  </si>
  <si>
    <t>Kwh utilisé</t>
  </si>
  <si>
    <t>Lave vaisselle automatique</t>
  </si>
  <si>
    <t xml:space="preserve">Puisance  (KW) </t>
  </si>
  <si>
    <t>Piano cuisson gaz</t>
  </si>
  <si>
    <t>SOURCE ENERGIE</t>
  </si>
  <si>
    <t>GAZ</t>
  </si>
  <si>
    <t>ELEC</t>
  </si>
  <si>
    <t>Prix Gaz (€/kwH)</t>
  </si>
  <si>
    <t>Prix Elec (€/KwH)</t>
  </si>
  <si>
    <t>COUT ENERGIE</t>
  </si>
  <si>
    <t>SOUSTOTAL ENERGIE DIRECTE</t>
  </si>
  <si>
    <t>Volume unité [L]</t>
  </si>
  <si>
    <t>Volume Batch</t>
  </si>
  <si>
    <t>Prix de vente (B2B)</t>
  </si>
  <si>
    <t>Prix de vente (B2C)</t>
  </si>
  <si>
    <t>Taux de marque B2C/B2B</t>
  </si>
  <si>
    <t>Stock année précédente (unité)</t>
  </si>
  <si>
    <t>VENTE et VARIATION DE STOCK</t>
  </si>
  <si>
    <t>Unités vendues B2B</t>
  </si>
  <si>
    <t>C.A total (B2B+B2C)</t>
  </si>
  <si>
    <t>Unités vendues B2C</t>
  </si>
  <si>
    <t>TOTAL ANNEE</t>
  </si>
  <si>
    <t>ONGLET SOURCE</t>
  </si>
  <si>
    <t>Chambre froide positive (conso annuelle)</t>
  </si>
  <si>
    <t>Année 1</t>
  </si>
  <si>
    <t>Année 2</t>
  </si>
  <si>
    <t>Année 3</t>
  </si>
  <si>
    <t>Calcul des cotisations sociales de l'indépendant principal (2025)</t>
  </si>
  <si>
    <t>Cotisations sociales indépendant : barèmes</t>
  </si>
  <si>
    <t>RECETTES ET SUBVENTIONS</t>
  </si>
  <si>
    <t>Ventes (hors T.V.A.)</t>
  </si>
  <si>
    <t>Revenus de base</t>
  </si>
  <si>
    <t>Montant ou %</t>
  </si>
  <si>
    <t>Tranche de … à … 2025</t>
  </si>
  <si>
    <t>€/tranche</t>
  </si>
  <si>
    <t xml:space="preserve">Forfait min </t>
  </si>
  <si>
    <t>Achats (hors T.V.A.)</t>
  </si>
  <si>
    <t>Si complémentaire</t>
  </si>
  <si>
    <t>Attention ci dessous : lien vers fiche technique</t>
  </si>
  <si>
    <t>Bénéfice brut d'exploitation</t>
  </si>
  <si>
    <t>Total</t>
  </si>
  <si>
    <t>ex. "subsides"</t>
  </si>
  <si>
    <t>ex. dons</t>
  </si>
  <si>
    <t>Subventions et dons</t>
  </si>
  <si>
    <t>Estimation du calcul de l'impôt - IPP (revenus 2024 - imposition 2025)</t>
  </si>
  <si>
    <t xml:space="preserve"> %</t>
  </si>
  <si>
    <t>Tranche -  Impôt des personnes physiques 2024</t>
  </si>
  <si>
    <t>revenus imposables</t>
  </si>
  <si>
    <t>Calcul de l'impôt</t>
  </si>
  <si>
    <t>Quotité base exemptée d'impôt 2024</t>
  </si>
  <si>
    <t>Total calcul impôt de base</t>
  </si>
  <si>
    <r>
      <t xml:space="preserve">pour tout revenu </t>
    </r>
    <r>
      <rPr>
        <u/>
        <sz val="10"/>
        <rFont val="Calibri Light"/>
        <family val="2"/>
      </rPr>
      <t xml:space="preserve">d'activité - </t>
    </r>
    <r>
      <rPr>
        <sz val="10"/>
        <rFont val="Calibri Light"/>
        <family val="2"/>
      </rPr>
      <t>! Pas d'application pour pensionnés ou revenus de remplacement</t>
    </r>
  </si>
  <si>
    <t>Quotité revenus exemptée d'impôt</t>
  </si>
  <si>
    <t>Majoration exemption/enfant à charge</t>
  </si>
  <si>
    <t>Quotité personnes à charge sur les revenus 2024 - impôts 2025</t>
  </si>
  <si>
    <t>Total quotité exemptée d'impôt</t>
  </si>
  <si>
    <t>Quotité à prendre en compte</t>
  </si>
  <si>
    <t>Calcul des réductions d'impôt</t>
  </si>
  <si>
    <t>par enfant à charge supplémentaire</t>
  </si>
  <si>
    <t>isolé avec enfant à charge</t>
  </si>
  <si>
    <t>suppl. par enfant de moins de 3 ans sans déduction de frais de garde</t>
  </si>
  <si>
    <t>personne à charge âgée de plus de 65 ans</t>
  </si>
  <si>
    <t>Total réductions</t>
  </si>
  <si>
    <t>pour toute autre personne à charge/handicap/etc</t>
  </si>
  <si>
    <t>Impôt dû</t>
  </si>
  <si>
    <t>Calcul réduction -  Impôt des personnes physiques</t>
  </si>
  <si>
    <t>Estimation du calcul de l'impôt des sociétés (revenus 2023 - imposition 2024)</t>
  </si>
  <si>
    <t>Taux applicable - revenus 2023 / imposition 2024</t>
  </si>
  <si>
    <t>%</t>
  </si>
  <si>
    <t>Tranche</t>
  </si>
  <si>
    <t>Impôt</t>
  </si>
  <si>
    <t>Total impôt dû</t>
  </si>
  <si>
    <t>Total charges professionnelles</t>
  </si>
  <si>
    <t xml:space="preserve">Bénéfice d'exploitation </t>
  </si>
  <si>
    <t xml:space="preserve">Bénéfice courant avant impôt </t>
  </si>
  <si>
    <t>Bénéfice net de l'exercice</t>
  </si>
  <si>
    <t>Calcul de la capacité de remboursement</t>
  </si>
  <si>
    <r>
      <rPr>
        <sz val="11"/>
        <rFont val="Calibri Light"/>
        <family val="2"/>
      </rPr>
      <t>Cash Flow</t>
    </r>
    <r>
      <rPr>
        <b/>
        <sz val="11"/>
        <rFont val="Calibri Light"/>
        <family val="2"/>
      </rPr>
      <t xml:space="preserve"> </t>
    </r>
    <r>
      <rPr>
        <sz val="11"/>
        <rFont val="Calibri Light"/>
        <family val="2"/>
      </rPr>
      <t>(bénéfice net + amortissements)</t>
    </r>
  </si>
  <si>
    <t>Remboursement capital des crédits Crédal</t>
  </si>
  <si>
    <t>Remboursement capital des autres crédits</t>
  </si>
  <si>
    <t>Remboursement des dettes professionnelles en cours</t>
  </si>
  <si>
    <t>Cash flow disponible</t>
  </si>
  <si>
    <t>Seuil de rentabilité de l'entreprise</t>
  </si>
  <si>
    <t>Seuil de rentabilié annuel</t>
  </si>
  <si>
    <t>Seuil de rentabilité mensuel</t>
  </si>
  <si>
    <t>Liquidités disponibles pour l'investissement</t>
  </si>
  <si>
    <t>Mois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</si>
  <si>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</si>
  <si>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</si>
  <si>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</si>
  <si>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</si>
  <si>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</si>
  <si>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</si>
  <si>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</si>
  <si>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</si>
  <si>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</si>
  <si>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</si>
  <si>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</si>
  <si>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</si>
  <si>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 xml:space="preserve">Ouvrier 1 </t>
  </si>
  <si>
    <t xml:space="preserve">RESSOURCE </t>
  </si>
  <si>
    <t xml:space="preserve">BESOIN </t>
  </si>
  <si>
    <t>ETP</t>
  </si>
  <si>
    <t>TOTAL RESSOURCE (ETP)</t>
  </si>
  <si>
    <t>TOTAL RESSOURCE (Jour/semaine</t>
  </si>
  <si>
    <t>TOTAL  BESOIN(ETP)</t>
  </si>
  <si>
    <t>Completer sur base de vos factures (diviser conso totale par facture totale)</t>
  </si>
  <si>
    <t>Clé Répartition</t>
  </si>
  <si>
    <t>VERIF,</t>
  </si>
  <si>
    <t>TOTAL IMMOBILISATIONS (ATTRIBUEES A TRANSFO)</t>
  </si>
  <si>
    <t>0</t>
  </si>
  <si>
    <t>Les montants pour les autres années se calculent automatiquement, mais peuvent être modifiés manuellement</t>
  </si>
  <si>
    <t>Taux inflation charges</t>
  </si>
  <si>
    <t>Remplir à minima la dernière année comptable écoulée (année -1)</t>
  </si>
  <si>
    <t>Volume batch (cycle de production) [L]</t>
  </si>
  <si>
    <t>Quantité produite en un cycle</t>
  </si>
  <si>
    <t>Volume unité vendue [L]</t>
  </si>
  <si>
    <t>Nombre d'unités réellement produites par batch</t>
  </si>
  <si>
    <t>Taux de perte par batch</t>
  </si>
  <si>
    <t xml:space="preserve">Taux de majoration (ou markup)  </t>
  </si>
  <si>
    <t>Ratio Prix  B2C / B2B</t>
  </si>
  <si>
    <t>Par défaut, choisir prix mercuriale légumes</t>
  </si>
  <si>
    <t>Total couts variables par batch (HTVA)</t>
  </si>
  <si>
    <t>Total couts variables par unité produite (HTVA)</t>
  </si>
  <si>
    <t xml:space="preserve">B2B </t>
  </si>
  <si>
    <t>Prix de vente unitaire (HTVA)</t>
  </si>
  <si>
    <t>Marge brute unitaire (HTVA)</t>
  </si>
  <si>
    <t xml:space="preserve">Taux de marge </t>
  </si>
  <si>
    <t>ENERGIE ET RESSOURCES HUMAINES PAR BATCH</t>
  </si>
  <si>
    <t>TEMPS TRAVAIL ACTIF (min)</t>
  </si>
  <si>
    <t>COUT VARIABLE HTVA</t>
  </si>
  <si>
    <t>TEMPS TOTAL (min)</t>
  </si>
  <si>
    <t>ETAPE I</t>
  </si>
  <si>
    <t>ETAPE J</t>
  </si>
  <si>
    <t>ETAPE K</t>
  </si>
  <si>
    <t>ETAPE L</t>
  </si>
  <si>
    <t xml:space="preserve">Explication </t>
  </si>
  <si>
    <t>Coulis de tomate</t>
  </si>
  <si>
    <t>#2</t>
  </si>
  <si>
    <t>#3</t>
  </si>
  <si>
    <t>#6</t>
  </si>
  <si>
    <t>FT_PROD (1)</t>
  </si>
  <si>
    <t>FT_PROD (2)</t>
  </si>
  <si>
    <t>FT_PROD (3)</t>
  </si>
  <si>
    <t>FT_PROD (4)</t>
  </si>
  <si>
    <t>FT_PROD (5)</t>
  </si>
  <si>
    <t>FT_PROD (6)</t>
  </si>
  <si>
    <t>FT_PROD (7)</t>
  </si>
  <si>
    <t>FT_PROD (8)</t>
  </si>
  <si>
    <t>FT_PROD (9)</t>
  </si>
  <si>
    <t>FT_PROD (10)</t>
  </si>
  <si>
    <t>FT_PROD (11)</t>
  </si>
  <si>
    <t>FT_PROD (12)</t>
  </si>
  <si>
    <t>FT_PROD (13)</t>
  </si>
  <si>
    <t>FT_PROD (14)</t>
  </si>
  <si>
    <t>FT_PROD (15)</t>
  </si>
  <si>
    <t>FT_PROD (16)</t>
  </si>
  <si>
    <t>C3</t>
  </si>
  <si>
    <t>D10</t>
  </si>
  <si>
    <t>G10</t>
  </si>
  <si>
    <t>D13</t>
  </si>
  <si>
    <t>D5</t>
  </si>
  <si>
    <t>D6</t>
  </si>
  <si>
    <t>Quantité produite année en cours (unité)</t>
  </si>
  <si>
    <t>Rebuts / perte stock année précédente</t>
  </si>
  <si>
    <t>MB Total (B2B + B2C)</t>
  </si>
  <si>
    <t>Part de B2B pour ce produit  [en unités]</t>
  </si>
  <si>
    <t xml:space="preserve">Part de ce produit (B2B et B2C) dans chiffre d'affaires total </t>
  </si>
  <si>
    <t>G43</t>
  </si>
  <si>
    <t>Année -2 : 2023</t>
  </si>
  <si>
    <t>DONNEES DE BASE - FICHES TECHNIQUES (INVARIABLE)</t>
  </si>
  <si>
    <t>Ratio achat vente année</t>
  </si>
  <si>
    <t>Imposition si société</t>
  </si>
  <si>
    <t>Année 4</t>
  </si>
  <si>
    <t>Impôts (Société)</t>
  </si>
  <si>
    <t>Revenu annuel possible</t>
  </si>
  <si>
    <t xml:space="preserve">Revenu annuel versé </t>
  </si>
  <si>
    <t>Cotisations sociales IPP versées</t>
  </si>
  <si>
    <t>Revenu imposable</t>
  </si>
  <si>
    <t>Impot dû</t>
  </si>
  <si>
    <t xml:space="preserve">Revenu mensuel </t>
  </si>
  <si>
    <t>Estimation revenus - indépendant en personne physique</t>
  </si>
  <si>
    <t>Indep 1</t>
  </si>
  <si>
    <t>Indep 2</t>
  </si>
  <si>
    <t>Production primaire</t>
  </si>
  <si>
    <t>Administratif - compta</t>
  </si>
  <si>
    <t>Transformation</t>
  </si>
  <si>
    <t>Nettoyage</t>
  </si>
  <si>
    <t>Préparation commandes</t>
  </si>
  <si>
    <t>Livraison</t>
  </si>
  <si>
    <t>Tâche (PERSONNE.JOUR/SEMAINE)</t>
  </si>
  <si>
    <t>Autre 2</t>
  </si>
  <si>
    <t>Autre 3</t>
  </si>
  <si>
    <t>Ouvrier 2</t>
  </si>
  <si>
    <t>TOTAL BESOIN (Jour/semaine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</si>
  <si>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</si>
  <si>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</si>
  <si>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</si>
  <si>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</si>
  <si>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</si>
  <si>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</si>
  <si>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</si>
  <si>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</si>
  <si>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</si>
  <si>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</si>
  <si>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</si>
  <si>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</si>
  <si>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 MOIS TRANSFO</t>
  </si>
  <si>
    <t>SEMAINE TRANSFO</t>
  </si>
  <si>
    <t>Produit</t>
  </si>
  <si>
    <t>Montant annuel HTVA</t>
  </si>
  <si>
    <t>Soustraitance</t>
  </si>
  <si>
    <t>Stocks restant année</t>
  </si>
  <si>
    <t>Mettre à 0  si vous êtes en indépendant (impots calculés plus bas)</t>
  </si>
  <si>
    <t>Pourcentage de production pour chaque produit selon le mois (0% = pas de production) ; (100% = production en pleine saison)</t>
  </si>
  <si>
    <t>0. MODE D'EMPLOI</t>
  </si>
  <si>
    <t>3. TCD - Synthèse INVEST</t>
  </si>
  <si>
    <t>4. CHARGES FIXES</t>
  </si>
  <si>
    <t>5. RESUME GAMME - CACV</t>
  </si>
  <si>
    <t>Compléter uniquement  ici les ingrédients utilisés. Les fiches recettes viendront chercher les données dans ce tableau</t>
  </si>
  <si>
    <t>Si autoproduit, indiquer  "Auto" comme fournisseur</t>
  </si>
  <si>
    <t>Sel</t>
  </si>
  <si>
    <t>Solucious</t>
  </si>
  <si>
    <t>Poivre</t>
  </si>
  <si>
    <t>Chocolat chips</t>
  </si>
  <si>
    <t>Coût d'achat HTVA  à l'unité</t>
  </si>
  <si>
    <t>1 Botte</t>
  </si>
  <si>
    <t>1 kg</t>
  </si>
  <si>
    <t>1 L</t>
  </si>
  <si>
    <t>1 Kg</t>
  </si>
  <si>
    <t>0.1 Kg</t>
  </si>
  <si>
    <t>Compléter uniquement  ici les consommables utilisés. Les fiches recettes viendront chercher les données dans ce tableau</t>
  </si>
  <si>
    <t>Sac papier</t>
  </si>
  <si>
    <t>Seuil de rentabilité monoproduit (€) - sur base des charges fixes années en cours</t>
  </si>
  <si>
    <t>Seuil de rentabilité monoproduit (unités vendues) - sur base des charges fixes année en cours</t>
  </si>
  <si>
    <t>SR monoproduit (€) - année en cours</t>
  </si>
  <si>
    <t>SR monoproduit (unités) - année en cours</t>
  </si>
  <si>
    <t>#4</t>
  </si>
  <si>
    <t>Marge Brute unitaire (B2B)</t>
  </si>
  <si>
    <t>Marge Brute unitaire (B2C)</t>
  </si>
  <si>
    <t>Marge brute par batch (HTVA)</t>
  </si>
  <si>
    <t>Marge brute/heure de travail actif (HTVA)</t>
  </si>
  <si>
    <t>Proportion Consommables dans Charges Variables</t>
  </si>
  <si>
    <t>Proportion Energie dans charges Variables</t>
  </si>
  <si>
    <t>H33</t>
  </si>
  <si>
    <t>H43</t>
  </si>
  <si>
    <t>H44</t>
  </si>
  <si>
    <t>G52</t>
  </si>
  <si>
    <t>C73</t>
  </si>
  <si>
    <t>G55</t>
  </si>
  <si>
    <t>Ratio Achat Vente (B2B)</t>
  </si>
  <si>
    <t>G50</t>
  </si>
  <si>
    <t>K50</t>
  </si>
  <si>
    <t>Proportion Matières Premières dans Charges Variables</t>
  </si>
  <si>
    <t>Ratio Achat Vente (B2C)</t>
  </si>
  <si>
    <t>K55</t>
  </si>
  <si>
    <t>CELLULE SOURCE</t>
  </si>
  <si>
    <t>Année prochaine : 2026</t>
  </si>
  <si>
    <t xml:space="preserve">Prop. Matières premières dans C.A </t>
  </si>
  <si>
    <t xml:space="preserve">Prop. Consommables dans C.A </t>
  </si>
  <si>
    <t xml:space="preserve">Prop. Energie dans C.A </t>
  </si>
  <si>
    <t xml:space="preserve">Ratio Achat Vente (B2C + B2B) </t>
  </si>
  <si>
    <t>ANALYSES PERFORMANCE PRODUIT ANNEE EN COURS</t>
  </si>
  <si>
    <t>G46</t>
  </si>
  <si>
    <t>Part CA B2C dans CA total</t>
  </si>
  <si>
    <t>Part B2C dans total unités vendues</t>
  </si>
  <si>
    <t>Evolution par rapport à année précédente</t>
  </si>
  <si>
    <t>Rang</t>
  </si>
  <si>
    <t>C.A total (€)</t>
  </si>
  <si>
    <t>% du total</t>
  </si>
  <si>
    <t>% cumulé</t>
  </si>
  <si>
    <t>Marge Brute (B2B) / heure travail effectif</t>
  </si>
  <si>
    <t>Marge Brute B2C / heure travail effectif</t>
  </si>
  <si>
    <t>K52</t>
  </si>
  <si>
    <t>Unités par batch</t>
  </si>
  <si>
    <t>D8</t>
  </si>
  <si>
    <t>Marge Brute totale / heure de travail</t>
  </si>
  <si>
    <t>Marge Brute (MB) en %age du C.A</t>
  </si>
  <si>
    <t>% Marge Brute</t>
  </si>
  <si>
    <t>MB / heure travail (€/h)</t>
  </si>
  <si>
    <t>C.A (€)</t>
  </si>
  <si>
    <t>% MB</t>
  </si>
  <si>
    <t>Moyenne CA</t>
  </si>
  <si>
    <t>Moyenne %MB</t>
  </si>
  <si>
    <t>Min CA</t>
  </si>
  <si>
    <t>Max CA</t>
  </si>
  <si>
    <t>Min %MB</t>
  </si>
  <si>
    <t>Max %MB</t>
  </si>
  <si>
    <t>LigneV_X</t>
  </si>
  <si>
    <t>LigneV_Y</t>
  </si>
  <si>
    <t>LigneH_X</t>
  </si>
  <si>
    <t>LigneH_Y</t>
  </si>
  <si>
    <t>CHARGES FIXES ENTITE JURIDIQUE</t>
  </si>
  <si>
    <t>CHARGES FIXES ATELIER TRANSFORMATION</t>
  </si>
  <si>
    <t>Clef de répartition unique - part des charges fixes de l'entreprise allouées à la transformation</t>
  </si>
  <si>
    <t>Liste indicateurs fiche recette</t>
  </si>
  <si>
    <t>C2</t>
  </si>
  <si>
    <t>Nombre de portions théoriques par batch</t>
  </si>
  <si>
    <t>D7</t>
  </si>
  <si>
    <t>D9</t>
  </si>
  <si>
    <t>Taux TVA B2B</t>
  </si>
  <si>
    <t>D11</t>
  </si>
  <si>
    <t>D12</t>
  </si>
  <si>
    <t>G12</t>
  </si>
  <si>
    <t>Taux TVA B2C</t>
  </si>
  <si>
    <t>G11</t>
  </si>
  <si>
    <t>Sous-total Ingrédients (coût variable / batch)</t>
  </si>
  <si>
    <t>G33</t>
  </si>
  <si>
    <t>Sous-total Consommables (coût variable / batch)</t>
  </si>
  <si>
    <t>Sous-total Énergie directe (coût variable / batch)</t>
  </si>
  <si>
    <t>G44</t>
  </si>
  <si>
    <t>Total coûts variables par batch (HTVA)</t>
  </si>
  <si>
    <t>G45</t>
  </si>
  <si>
    <t>Marge brute par batch B2B (HTVA)</t>
  </si>
  <si>
    <t>G51</t>
  </si>
  <si>
    <t>Marge brute par batch B2C (HTVA)</t>
  </si>
  <si>
    <t>K51</t>
  </si>
  <si>
    <t>Taux de marge B2B</t>
  </si>
  <si>
    <t>G53</t>
  </si>
  <si>
    <t>Taux de marge B2C</t>
  </si>
  <si>
    <t>K53</t>
  </si>
  <si>
    <t>Coefficient de marge B2B</t>
  </si>
  <si>
    <t>G54</t>
  </si>
  <si>
    <t>Coefficient de marge B2C</t>
  </si>
  <si>
    <t>K54</t>
  </si>
  <si>
    <t>Seuil de rentabilité monoproduit B2B (€)</t>
  </si>
  <si>
    <t>G56</t>
  </si>
  <si>
    <t>Seuil de rentabilité monoproduit B2B (unités)</t>
  </si>
  <si>
    <t>G57</t>
  </si>
  <si>
    <t>Seuil de rentabilité monoproduit B2C (€)</t>
  </si>
  <si>
    <t>K56</t>
  </si>
  <si>
    <t>Seuil de rentabilité monoproduit B2C (unités)</t>
  </si>
  <si>
    <t>K57</t>
  </si>
  <si>
    <t>Temps de travail actif total / batch (min)</t>
  </si>
  <si>
    <t>Temps machine total / batch (min)</t>
  </si>
  <si>
    <t>D73</t>
  </si>
  <si>
    <t>Temps total / batch (min)</t>
  </si>
  <si>
    <t>E73</t>
  </si>
  <si>
    <t>Consommation énergie totale / batch (kWh)</t>
  </si>
  <si>
    <t>H73</t>
  </si>
  <si>
    <t>Coût énergie total / batch (€)</t>
  </si>
  <si>
    <t>J73</t>
  </si>
  <si>
    <t>Minutes de travail actif / Batch</t>
  </si>
  <si>
    <t>VENTES ANNEE</t>
  </si>
  <si>
    <t>PRODUCTION ANNEE (unités)</t>
  </si>
  <si>
    <t>PRODUCTION ANNEE (batchs)</t>
  </si>
  <si>
    <t>Delta stock (stock année - stock année préced)</t>
  </si>
  <si>
    <t>Valeur delta stock</t>
  </si>
  <si>
    <t>DELTA STOCK ANNEE (stock final - stock initial)</t>
  </si>
  <si>
    <t>Heures travail production (delta stock + unités vendues)</t>
  </si>
  <si>
    <t xml:space="preserve">HEURES PRODUCTION </t>
  </si>
  <si>
    <t>Ratio utilisation</t>
  </si>
  <si>
    <t>Statut</t>
  </si>
  <si>
    <t>Nb produits actifs</t>
  </si>
  <si>
    <t>Batchs/sem requis</t>
  </si>
  <si>
    <t>Heures/sem requises</t>
  </si>
  <si>
    <t>Jours/sem requis (38h)</t>
  </si>
  <si>
    <t>Heures dispo MAX par semaine</t>
  </si>
  <si>
    <t>RATIO UTILISATION</t>
  </si>
  <si>
    <t>Ouvrier 3</t>
  </si>
  <si>
    <t>Ouvrier 4</t>
  </si>
  <si>
    <t xml:space="preserve">Chiffre d'affaire autoproduction </t>
  </si>
  <si>
    <t>Par batch</t>
  </si>
  <si>
    <t>Par unité</t>
  </si>
  <si>
    <t>Autoproduction</t>
  </si>
  <si>
    <t>Non</t>
  </si>
  <si>
    <t>Oui</t>
  </si>
  <si>
    <t>Inbterbio</t>
  </si>
  <si>
    <t>Chiffre d'affaire autoprorduction /unité)</t>
  </si>
  <si>
    <t>C78</t>
  </si>
  <si>
    <t>C.A autoproduction</t>
  </si>
  <si>
    <t>Chiffre d'affaires autoproduction</t>
  </si>
  <si>
    <t xml:space="preserve">Ne pas oublier ONSS patronale / Double Pécvule de vacances etc. </t>
  </si>
  <si>
    <t>Voir onglet amortissements</t>
  </si>
  <si>
    <t>Indiquer ici le montant tout compris de la rémunéraiton de chaque employé. Ce montant total sera rerpis dans les charges fixes</t>
  </si>
  <si>
    <t>=</t>
  </si>
  <si>
    <t>Quantité ETP à rémunerer avec revenu activité</t>
  </si>
  <si>
    <t>Heures par semaine pour ETP</t>
  </si>
  <si>
    <t>Semaines par an pour un ETP (hors congés)</t>
  </si>
  <si>
    <t>Heures par an pour un ETP (equivalent temps plein)</t>
  </si>
  <si>
    <t>Revenu horaire choisi</t>
  </si>
  <si>
    <t>Reveuni horaire maximum possible</t>
  </si>
  <si>
    <t>Estimation temps de travail - indépendant en personne physique</t>
  </si>
  <si>
    <t>J/sem moyen</t>
  </si>
  <si>
    <t>Encoder ici en nombre de jour semaine les différentes ressources disponibles et necessaire pour votre activité de transformation</t>
  </si>
  <si>
    <t>Moyenne annuelle</t>
  </si>
  <si>
    <t>Clef</t>
  </si>
  <si>
    <t>Voir onglet besoin RH mensuel</t>
  </si>
  <si>
    <t xml:space="preserve">Commentaires </t>
  </si>
  <si>
    <t>Pickels légumes</t>
  </si>
  <si>
    <t>Potage legume feuille</t>
  </si>
  <si>
    <t>Bolognaise</t>
  </si>
  <si>
    <t>Chutney carottes</t>
  </si>
  <si>
    <t>Marmelade agrumes</t>
  </si>
  <si>
    <t>#7</t>
  </si>
  <si>
    <t>Sirop menthe</t>
  </si>
  <si>
    <t>#8</t>
  </si>
  <si>
    <t>Cornichons</t>
  </si>
  <si>
    <t>BATCH ANNE ARRONDI</t>
  </si>
  <si>
    <t>BATCHS PLANIFIÉS PAR MOIS (entiers, surplus en fin de saison)</t>
  </si>
  <si>
    <t>ANALYSE PRODUCTION ANNUELLE PRODUIT PAR PRODUIT</t>
  </si>
  <si>
    <t>Saisonnalité de la production</t>
  </si>
  <si>
    <t>Verification heures de prod annuelle</t>
  </si>
  <si>
    <t>Intégrer les remboursements du capital ici  (pas des intérêts)</t>
  </si>
  <si>
    <t>1. DONNEES DE BASE</t>
  </si>
  <si>
    <t>2. INVEST &amp; AMORT</t>
  </si>
  <si>
    <t>8. Matrice MENU ENGINEERING</t>
  </si>
  <si>
    <t>11. Résultats</t>
  </si>
  <si>
    <t>9. Capacité prod mensuelle</t>
  </si>
  <si>
    <t>10. BESOIN RH mensuel</t>
  </si>
  <si>
    <t>12. LISTE INGREDIENTS</t>
  </si>
  <si>
    <t>6. Analyse Pareto</t>
  </si>
  <si>
    <t>7. Pareto - Graphique CA</t>
  </si>
  <si>
    <t>Néant.</t>
  </si>
  <si>
    <t>13. LISTE CONSOMMABLES</t>
  </si>
  <si>
    <t>Liste exhaustive des consommables (emballages, étiquettes, etc.) utilisés dans les recettes.</t>
  </si>
  <si>
    <t>Compléter fournisseur, unité de conditionnement et coût d'achat HTVA pour chaque consommable.</t>
  </si>
  <si>
    <t>14. CALCUL IMPOT</t>
  </si>
  <si>
    <t>Calcule l'impôt sur les revenus de l'activité selon les barèmes fiscaux applicables.</t>
  </si>
  <si>
    <t>Vérifier les barèmes utilisés. À adapter selon le statut (indépendant / société) et la législation en vigueur.</t>
  </si>
  <si>
    <t>Part d'energie reprise dans charges variables</t>
  </si>
  <si>
    <t>Eviter le double comptage des charges d'énergie</t>
  </si>
  <si>
    <t>ORGANISATION MENSUELLE  DE LA PRODUCTION - SELON SAISONNALITE ET QUANTITE A PRODUIRE</t>
  </si>
  <si>
    <t>Explique le fonctionnement du document et la légende des couleurs.</t>
  </si>
  <si>
    <t>Reprend les données de base de l'activité (année en cours, prix de l'énergie, etc.).</t>
  </si>
  <si>
    <t>Mettre à jour l'année et les prix de l'énergie.</t>
  </si>
  <si>
    <t>Calcule les investissements de l'activité et leur amortissement annuel.</t>
  </si>
  <si>
    <t>Lister toutes les immobilisations matérielles et immatérielles. Tenir compte d'une clef de répartition si l'objet n'est pas uniquement utilisé pour la transformation. Si investissement réalisé à partir du 01/10, indiquer qu'il a été réalisé l'année suivante.</t>
  </si>
  <si>
    <t>Résume les investissements réalisés dans le temps (tableau croisé dynamique).</t>
  </si>
  <si>
    <t>Néant. Attention, le TCD ne se met à jour qu'à l'ouverture du document (clic droit → Actualiser si besoin).</t>
  </si>
  <si>
    <t>Liste les charges qui ne dépendent pas du volume de production.</t>
  </si>
  <si>
    <t>Les données produits viennent des fiches techniques (FT_PROD). Indiquer pour chaque année les quantités vendues (B2B/B2C), produites et les rebuts de stock. Les C.A et M.B totaux annuels apparaissent à droite de la feuille.</t>
  </si>
  <si>
    <t>Néant — se met à jour automatiquement à partir de l'onglet 5. RESUME GAMME - CACV.</t>
  </si>
  <si>
    <t>Visualisation graphique de l'analyse Pareto — courbe cumulée du C.A par produit.</t>
  </si>
  <si>
    <t>Néant. Possibilité de grouper les produits aux caractéristiques proches (Marge brute) pour réduire la complexité d'analyse.</t>
  </si>
  <si>
    <t>Évalue la capacité de production mensuelle et les besoins en heures par recette selon la saisonnalité (détecte les goulots).</t>
  </si>
  <si>
    <t>Pour chaque produit, indiquer le coefficient de saisonnalité mensuel (0 = pas de production, 0,5 = demi-mois actif, 1 = pleine saison). Ajuster la colonne S (heures dispo MAX/semaine) selon les ressources réelles.</t>
  </si>
  <si>
    <t>Évalue les ressources et besoins en RH pour l'activité, mois par mois (détecte les goulots de main-d'œuvre).</t>
  </si>
  <si>
    <t>Sur base mensuelle, indiquer les ressources humaines disponibles et leur allocation par poste d'activité. Le ratio d'utilisation est affiché en bas du tableau.</t>
  </si>
  <si>
    <t>Indiquer d'éventuels subsides liés à l'activité (hors PAC). Le revenu net possible pour l'indépendant se calcule tout en bas, selon le cash flow disponible.</t>
  </si>
  <si>
    <t>Liste exhaustive des ingrédients utilisés dans les recettes.</t>
  </si>
  <si>
    <t>Faire la liste exhaustive de tous les ingrédients et utiliser cette liste pour remplir les fiches techniques produits. Ne pas recopier une même ligne d'ingrédients dans plusieurs recettes. Attention : cette liste n'est pas liée automatiquement aux fiches.</t>
  </si>
  <si>
    <t>FT_PROD (1) à FT_PROD (8)</t>
  </si>
  <si>
    <t>Fiche technique par recette (jusqu'à 8 recettes paramétrées dans cette version).</t>
  </si>
  <si>
    <t>Remplir une fiche technique par produit. L'onglet peut être dupliqué pour ajouter des recettes supplémentaires.</t>
  </si>
  <si>
    <t xml:space="preserve">L'outil peut englober jusqu'à 16 fiches techniques. </t>
  </si>
  <si>
    <t>Remplir le dernier bilan comptable clôturé pour l'ensemble de l'entreprise, puis appliquer une clef de répartition unique à tous les postes (% de l'activité transformation dans l'entreprise globale), à l'EXCEPTION des postes RH et Amortissements qui doivent être renseignés spécifiquement pour l'activité de transformation.</t>
  </si>
  <si>
    <t>Détermine le chiffre d'affaires, les charges variables, la marge brute et la rentabilité pour l'ensemble des produits vendus sur l'année. Centralise les volumes (production / ventes B2B / B2C / rebuts) et les agrège vers les tableaux de bord (Pareto, Menu Engineering, Résultats).</t>
  </si>
  <si>
    <t>Identifie les produits qui génèrent l'essentiel du chiffre d'affaires (loi 80/20). Classe les références par C.A décroissant et calcule la part cumulée pour distinguer les produits stratégiques (top 20 %) des produits secondaires.</t>
  </si>
  <si>
    <t>Compte de résultat synthétique : agrège toutes les charges (fixes, variables, RH, amortissements, impôt) et les recettes sur base annuelle pour calculer le résultat d'exploitation, le résultat net et le cash flow disponible pour l'indépendant.</t>
  </si>
  <si>
    <t>Vue d'ensemble de la stratégie de gamme : place chaque produit selon sa contribution au C.A et sa Marge Brute (exprimée en %age du C.A).</t>
  </si>
  <si>
    <t>MOT DE PASSE pour dévérouiller les cellules : trèfle</t>
  </si>
  <si>
    <t>SIMULATEUR DE REDEVANCE DE CERTIFICATION BIO – AGW wallon 13/10/2022 (màj 11/10/2024)</t>
  </si>
  <si>
    <t>🔵 Cellules bleues = à saisir</t>
  </si>
  <si>
    <t>🟡 Cellules jaunes = résultats reportés automatiquement</t>
  </si>
  <si>
    <t>⚠ Ne pas modifier les cellules grises (barèmes AGW)</t>
  </si>
  <si>
    <t>A. PARAMÈTRES GÉNÉRAUX ET INDEXATION (AGW, Art. 7° – Annexe 4)</t>
  </si>
  <si>
    <t>Paramètre</t>
  </si>
  <si>
    <t>Valeur</t>
  </si>
  <si>
    <t>Remarque</t>
  </si>
  <si>
    <t>Date d'entrée sous contrôle bio</t>
  </si>
  <si>
    <t xml:space="preserve">Saisir la date de notification </t>
  </si>
  <si>
    <t>Date d'aujourd'hui</t>
  </si>
  <si>
    <t xml:space="preserve">Mettre à jour </t>
  </si>
  <si>
    <t>Nombre d'années sous contrôle bio</t>
  </si>
  <si>
    <t>Calculé automatiquement</t>
  </si>
  <si>
    <t>Index santé septembre 2021 (base 2013=100) – référence AGW</t>
  </si>
  <si>
    <t>Source: Statbel</t>
  </si>
  <si>
    <t>Index santé septembre de l'année précédente (base 2013=100)</t>
  </si>
  <si>
    <t>Source: Statbel – à mettre à jour chaque 1er janvier</t>
  </si>
  <si>
    <t>Coefficient d'indexation</t>
  </si>
  <si>
    <t>Taux MINIMUM de l'OC (base AGW : 0,153 €/point, indexé)</t>
  </si>
  <si>
    <t>Indexé automatiquement</t>
  </si>
  <si>
    <t>Taux MAXIMUM de l'OC (base AGW : 0,232 €/point, indexé)</t>
  </si>
  <si>
    <t>B. TYPES D'ACTIVITÉS EXERCÉES (cochez oui ou non pour chaque ligne)</t>
  </si>
  <si>
    <t>Activité bio</t>
  </si>
  <si>
    <t>Réponse</t>
  </si>
  <si>
    <t>Producteur agricole (végétal ou animal)</t>
  </si>
  <si>
    <t>oui</t>
  </si>
  <si>
    <t>Transformateur/préparateur (transforme des matières premières)</t>
  </si>
  <si>
    <t>Question complémentaire</t>
  </si>
  <si>
    <t>Si producteur ET préparateur : achète-t-il des produits agricoles à des fournisseurs externes ?</t>
  </si>
  <si>
    <t>pas d'application</t>
  </si>
  <si>
    <r>
      <t xml:space="preserve">Ces produits achetés sont-ils du même </t>
    </r>
    <r>
      <rPr>
        <sz val="10"/>
        <color theme="1"/>
        <rFont val="Arial"/>
        <family val="2"/>
      </rPr>
      <t>type</t>
    </r>
    <r>
      <rPr>
        <sz val="10"/>
        <color rgb="FF000000"/>
        <rFont val="Arial"/>
        <family val="2"/>
        <charset val="1"/>
      </rPr>
      <t xml:space="preserve"> que ceux qu'il cultive lui-même ?</t>
    </r>
  </si>
  <si>
    <t>Est-ce qu'au moins 75% en poids des produits agricoles utilisés viennent-ils de sa propre exploitation ?</t>
  </si>
  <si>
    <t>Nombre de fournisseurs différents par an (important pour distributeur préemballé)</t>
  </si>
  <si>
    <t>Résultat : Exemption redevance préparation ?</t>
  </si>
  <si>
    <t>⚠ EXEMPTION PRODUCTEUR-PRÉPARATEUR (AGW Art. 3.6°) : Un producteur qui transforme ses propres produits ne paie pas de redevance préparation si : (1) au moins 75% en poids des produits agricoles utilisés viennent de sa propre exploitation, ET (2) seuls les types de produits qu'il ne produit pas lui-même peuvent être achetés à l'extérieur.</t>
  </si>
  <si>
    <t>C. DONNÉES FINANCIÈRES</t>
  </si>
  <si>
    <t>Poste</t>
  </si>
  <si>
    <t>Montant</t>
  </si>
  <si>
    <t>Info</t>
  </si>
  <si>
    <t>Chiffre d'affaires biologique annuel (toutes activités bio confondues)</t>
  </si>
  <si>
    <t>Total des ventes bio annuelles de l'entreprise</t>
  </si>
  <si>
    <t>D. REDEVANCE PRÉPARATION / DISTRIBUTION / IMPORT-EXPORT – AGW Annexe 4, §3°</t>
  </si>
  <si>
    <t>Points pour le chiffre d'affaires biologique (par type d'activité)</t>
  </si>
  <si>
    <t>Transformateur/préparateur (CA complet)</t>
  </si>
  <si>
    <t>Total points CA</t>
  </si>
  <si>
    <t>L'activité est-elle mixte (bio et non-bio) ?</t>
  </si>
  <si>
    <t>non</t>
  </si>
  <si>
    <t>Nb – Si activité 100% bio</t>
  </si>
  <si>
    <t>Pts – Si activité 100% bio</t>
  </si>
  <si>
    <t>Nb – Si activité mixte</t>
  </si>
  <si>
    <t>Pts – Si activité mixte</t>
  </si>
  <si>
    <t>Nombre de sites d'activité bio</t>
  </si>
  <si>
    <t>Nombre de types d'ingrédients biologiques (préparation uniquement, hors emballage)</t>
  </si>
  <si>
    <t>Nombre de types de produits biologiques préparés ou importés</t>
  </si>
  <si>
    <t>Points ingrédients+produits plafonnés à 50% des points CA (préparation uniquement – AGW §3.3°)</t>
  </si>
  <si>
    <t>Seuils minimaux de points (AGW §3.4°) – par ordre de priorité</t>
  </si>
  <si>
    <t>Seuil minimal de base (4.750 pts indexés)</t>
  </si>
  <si>
    <t>Applicable par défaut</t>
  </si>
  <si>
    <t>Exception 1 : Préparateur avec CA bio ≤ 15.779€ indexés → 2.075 pts</t>
  </si>
  <si>
    <t>Priorité 1</t>
  </si>
  <si>
    <t>Exception 2 : Préparateur avec seuil &lt; 4.750 et &lt; 2 ans sous contrôle → 4.450 pts indexés</t>
  </si>
  <si>
    <t>Priorité 2</t>
  </si>
  <si>
    <t>SEUIL MINIMAL APPLICABLE AU CAS PRESENT</t>
  </si>
  <si>
    <t>Résultats – Redevance préparation / distribution / import-export</t>
  </si>
  <si>
    <t>TOTAL POINTS – Activités entièrement BIO</t>
  </si>
  <si>
    <t>TOTAL POINTS – Activités MIXTES (bio + non bio)</t>
  </si>
  <si>
    <t>Redevance minimale PRÉPARATION HTVA – Bio seul</t>
  </si>
  <si>
    <t>Redevance minimale PRÉPARATION HTVA – Mixte</t>
  </si>
  <si>
    <t>Redevance maximale PRÉPARATION HTVA – Bio seul</t>
  </si>
  <si>
    <t>Redevance maximale PRÉPARATION HTVA – Mixte</t>
  </si>
  <si>
    <t>MOYENNE (à titre indicatif)</t>
  </si>
  <si>
    <t>⚠ AVERTISSEMENT : Ces montants sont des estimations basées sur l'AGW du 13/10/2022 (màj 11/10/2024). Les OC peuvent fixer leurs tarifs entre le minimum et le maximum légal. Ce simulateur ne constitue pas une offre commerciale. Contactez votre organisme de contrôle pour un devis précis.</t>
  </si>
  <si>
    <t>E. BARÈMES DE RÉFÉRENCE (AGW Annexe 4 – ne pas modifier)</t>
  </si>
  <si>
    <t>E1. Barème chiffre d'affaires biologique – points par tranche de 6.311,5€ indexés (AGW §3.1°)</t>
  </si>
  <si>
    <t>Tranche min (€) indexée</t>
  </si>
  <si>
    <t>Tranche max (€) indexée</t>
  </si>
  <si>
    <t>Points / tranche</t>
  </si>
  <si>
    <t>Taille de tranche indexée (€)</t>
  </si>
  <si>
    <t>Redevance BIO</t>
  </si>
  <si>
    <t>Voir onglet "simulation"</t>
  </si>
  <si>
    <t xml:space="preserve">Plan financier (calculateur excel) d'un projet de transformation de fruits et légumes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</si>
</sst>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4" formatCode="_-* #,##0.00\ &quot;€&quot;_-;\-* #,##0.00\ &quot;€&quot;_-;_-* &quot;-&quot;??\ &quot;€&quot;_-;_-@_-"/>
    <numFmt numFmtId="164" formatCode="#,##0.00\ &quot;€&quot;"/>
    <numFmt numFmtId="165" formatCode="0.000"/>
    <numFmt numFmtId="166" formatCode="_-* #,##0.00\ [$€-40C]_-;\-* #,##0.00\ [$€-40C]_-;_-* &quot;-&quot;??\ [$€-40C]_-;_-@_-"/>
    <numFmt numFmtId="167" formatCode="0.000%"/>
    <numFmt numFmtId="168" formatCode="_-* #,##0.00\ _€_-;\-* #,##0.00\ _€_-;_-* &quot;-&quot;??\ _€_-;_-@_-"/>
    <numFmt numFmtId="169" formatCode="_-* #,##0.00\ [$€-80C]_-;\-* #,##0.00\ [$€-80C]_-;_-* &quot;-&quot;??\ [$€-80C]_-;_-@_-"/>
    <numFmt numFmtId="170" formatCode="_(* #,##0.00_);_(* \(#,##0.00\);_(* &quot;-&quot;??_);_(@_)"/>
    <numFmt numFmtId="171" formatCode="_-* #,##0\ [$€-40C]_-;\-* #,##0\ [$€-40C]_-;_-* &quot;-&quot;??\ [$€-40C]_-;_-@_-"/>
    <numFmt numFmtId="172" formatCode="_(&quot;$&quot;* #,##0.00_);_(&quot;$&quot;* \(#,##0.00\);_(&quot;$&quot;* &quot;-&quot;??_);_(@_)"/>
    <numFmt numFmtId="173" formatCode="0.0%"/>
    <numFmt numFmtId="174" formatCode="#,##0.000\ &quot;€&quot;"/>
    <numFmt numFmtId="175" formatCode="#,##0\ &quot;€&quot;"/>
    <numFmt numFmtId="176" formatCode="[$€-2]\ #,##0.00"/>
    <numFmt numFmtId="177" formatCode="_-* #,##0\ [$€-40C]_-;\-* #,##0\ [$€-40C]_-;_-* &quot;-&quot;??\ [$€-40C]_-;_-@"/>
    <numFmt numFmtId="178" formatCode="_-* #,##0.0\ &quot;€&quot;_-;\-* #,##0.0\ &quot;€&quot;_-;_-* &quot;-&quot;??\ &quot;€&quot;_-;_-@_-"/>
    <numFmt numFmtId="179" formatCode="#,##0\ \€;\(#,##0\ \€\);\-"/>
    <numFmt numFmtId="180" formatCode="#,##0.0\ \€&quot;/h&quot;"/>
    <numFmt numFmtId="181" formatCode="#,##0\ \€"/>
    <numFmt numFmtId="182" formatCode="0&quot; h&quot;"/>
    <numFmt numFmtId="183" formatCode="0.0"/>
    <numFmt numFmtId="184" formatCode="0.0&quot; h&quot;"/>
    <numFmt numFmtId="185" formatCode="dd/mm/yyyy"/>
    <numFmt numFmtId="186" formatCode="0.0000&quot; €/pt&quot;"/>
    <numFmt numFmtId="187" formatCode="#,##0&quot; €&quot;"/>
    <numFmt numFmtId="188" formatCode="#,##0.00&quot; €&quot;"/>
  </numFmts>
  <fonts count="84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32"/>
      <name val="Aptos Display"/>
      <family val="1"/>
      <scheme val="major"/>
    </font>
    <font>
      <sz val="26"/>
      <name val="Arial"/>
      <family val="2"/>
    </font>
    <font>
      <b/>
      <i/>
      <sz val="11"/>
      <color theme="6" tint="-0.249977111117893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rgb="FF000000"/>
      <name val="Arial1"/>
    </font>
    <font>
      <b/>
      <sz val="10"/>
      <color rgb="FF000000"/>
      <name val="Arial1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name val="Calibri Light"/>
      <family val="2"/>
    </font>
    <font>
      <b/>
      <sz val="14"/>
      <name val="Calibri Light"/>
      <family val="2"/>
    </font>
    <font>
      <sz val="10"/>
      <name val="Trebuchet MS"/>
      <family val="2"/>
    </font>
    <font>
      <b/>
      <sz val="10"/>
      <name val="Calibri Light"/>
      <family val="2"/>
    </font>
    <font>
      <b/>
      <sz val="10"/>
      <color rgb="FFFF0000"/>
      <name val="Calibri Light"/>
      <family val="2"/>
    </font>
    <font>
      <b/>
      <i/>
      <sz val="10"/>
      <name val="Calibri Light"/>
      <family val="2"/>
    </font>
    <font>
      <i/>
      <sz val="10"/>
      <name val="Calibri Light"/>
      <family val="2"/>
    </font>
    <font>
      <u/>
      <sz val="10"/>
      <color rgb="FFFF0000"/>
      <name val="Calibri Light"/>
      <family val="2"/>
    </font>
    <font>
      <sz val="8"/>
      <name val="Aptos Narrow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b/>
      <sz val="11"/>
      <name val="Calibri Light"/>
      <family val="2"/>
    </font>
    <font>
      <sz val="8"/>
      <name val="Calibri Light"/>
      <family val="2"/>
    </font>
    <font>
      <sz val="11"/>
      <name val="Calibri Light"/>
      <family val="2"/>
    </font>
    <font>
      <sz val="9"/>
      <name val="Calibri Light"/>
      <family val="2"/>
    </font>
    <font>
      <i/>
      <sz val="11"/>
      <name val="Calibri Light"/>
      <family val="2"/>
    </font>
    <font>
      <sz val="10"/>
      <color theme="1"/>
      <name val="Arial"/>
      <family val="2"/>
    </font>
    <font>
      <b/>
      <sz val="9"/>
      <name val="Calibri Light"/>
      <family val="2"/>
    </font>
    <font>
      <b/>
      <sz val="10"/>
      <color theme="0"/>
      <name val="Calibri Light"/>
      <family val="2"/>
    </font>
    <font>
      <b/>
      <sz val="12"/>
      <name val="Calibri Light"/>
      <family val="2"/>
    </font>
    <font>
      <sz val="10"/>
      <color rgb="FFFF0000"/>
      <name val="Calibri Light"/>
      <family val="2"/>
    </font>
    <font>
      <i/>
      <sz val="10"/>
      <color theme="0" tint="-0.499984740745262"/>
      <name val="Calibri Light"/>
      <family val="2"/>
    </font>
    <font>
      <b/>
      <sz val="10"/>
      <color indexed="10"/>
      <name val="Calibri Light"/>
      <family val="2"/>
    </font>
    <font>
      <u/>
      <sz val="10"/>
      <name val="Calibri Light"/>
      <family val="2"/>
    </font>
    <font>
      <sz val="10"/>
      <color theme="1"/>
      <name val="Calibri Light"/>
      <family val="2"/>
    </font>
    <font>
      <b/>
      <sz val="10"/>
      <color theme="9"/>
      <name val="Calibri Light"/>
      <family val="2"/>
    </font>
    <font>
      <b/>
      <sz val="10"/>
      <color rgb="FF00B050"/>
      <name val="Calibri Light"/>
      <family val="2"/>
    </font>
    <font>
      <b/>
      <sz val="16"/>
      <name val="Calibri Light"/>
      <family val="2"/>
    </font>
    <font>
      <u/>
      <sz val="10"/>
      <color theme="10"/>
      <name val="Arial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</font>
    <font>
      <b/>
      <sz val="14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2"/>
      <color theme="1"/>
      <name val="Calibri Light"/>
      <family val="2"/>
    </font>
    <font>
      <sz val="10"/>
      <color rgb="FF000000"/>
      <name val="Calibri"/>
      <family val="2"/>
    </font>
    <font>
      <b/>
      <sz val="11"/>
      <color theme="1"/>
      <name val="Aptos Narrow"/>
      <scheme val="minor"/>
    </font>
    <font>
      <b/>
      <sz val="11"/>
      <color rgb="FF000000"/>
      <name val="Aptos Narrow"/>
    </font>
    <font>
      <i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theme="1"/>
      <name val="Calibri"/>
      <family val="2"/>
      <charset val="1"/>
    </font>
    <font>
      <b/>
      <sz val="13"/>
      <color rgb="FFFFFFFF"/>
      <name val="Arial"/>
      <charset val="1"/>
    </font>
    <font>
      <i/>
      <sz val="9"/>
      <color rgb="FF00008B"/>
      <name val="Arial"/>
      <charset val="1"/>
    </font>
    <font>
      <i/>
      <sz val="9"/>
      <color rgb="FF856404"/>
      <name val="Arial"/>
      <charset val="1"/>
    </font>
    <font>
      <i/>
      <sz val="9"/>
      <color rgb="FF000000"/>
      <name val="Arial"/>
      <family val="2"/>
      <charset val="1"/>
    </font>
    <font>
      <b/>
      <sz val="10"/>
      <color rgb="FFFFFFFF"/>
      <name val="Arial"/>
      <charset val="1"/>
    </font>
    <font>
      <sz val="10"/>
      <color rgb="FF000000"/>
      <name val="Arial"/>
      <charset val="1"/>
    </font>
    <font>
      <sz val="10"/>
      <name val="Arial"/>
      <family val="2"/>
      <charset val="1"/>
    </font>
    <font>
      <sz val="10"/>
      <color rgb="FF000000"/>
      <name val="Arial"/>
      <family val="2"/>
    </font>
    <font>
      <sz val="10"/>
      <color rgb="FF002060"/>
      <name val="Arial"/>
      <family val="2"/>
      <charset val="1"/>
    </font>
    <font>
      <b/>
      <sz val="10"/>
      <color rgb="FF000000"/>
      <name val="Arial"/>
      <charset val="1"/>
    </font>
    <font>
      <sz val="10"/>
      <name val="Arial"/>
      <charset val="1"/>
    </font>
    <font>
      <b/>
      <sz val="10"/>
      <color rgb="FF002060"/>
      <name val="Arial"/>
      <family val="2"/>
      <charset val="1"/>
    </font>
    <font>
      <b/>
      <sz val="10"/>
      <color rgb="FFFFFFFF"/>
      <name val="Arial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"/>
      <color rgb="FFFF0000"/>
      <name val="Arial"/>
      <family val="2"/>
      <charset val="1"/>
    </font>
    <font>
      <i/>
      <sz val="9"/>
      <color rgb="FF7B241C"/>
      <name val="Arial"/>
      <family val="2"/>
      <charset val="1"/>
    </font>
    <font>
      <sz val="10"/>
      <color rgb="FF00008B"/>
      <name val="Arial"/>
      <charset val="1"/>
    </font>
    <font>
      <b/>
      <sz val="10"/>
      <name val="Arial"/>
      <family val="2"/>
      <charset val="1"/>
    </font>
    <font>
      <b/>
      <sz val="72"/>
      <color theme="4"/>
      <name val="Aptos Narrow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1CB6F"/>
        <bgColor rgb="FF000000"/>
      </patternFill>
    </fill>
    <fill>
      <patternFill patternType="solid">
        <fgColor rgb="FF9DB4D9"/>
        <bgColor rgb="FF000000"/>
      </patternFill>
    </fill>
    <fill>
      <patternFill patternType="solid">
        <fgColor rgb="FFACD7CA"/>
        <bgColor rgb="FF000000"/>
      </patternFill>
    </fill>
    <fill>
      <patternFill patternType="solid">
        <fgColor rgb="FF9DB4D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1CB6F"/>
        <bgColor indexed="64"/>
      </patternFill>
    </fill>
    <fill>
      <patternFill patternType="solid">
        <fgColor rgb="FFACD7CA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1CB6F"/>
        <bgColor rgb="FFFFFFFF"/>
      </patternFill>
    </fill>
    <fill>
      <patternFill patternType="solid">
        <fgColor rgb="FF00829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DB4D9"/>
        <bgColor rgb="FFFFFFFF"/>
      </patternFill>
    </fill>
    <fill>
      <patternFill patternType="solid">
        <fgColor rgb="FFD9E1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1A5276"/>
        <bgColor rgb="FF1F618D"/>
      </patternFill>
    </fill>
    <fill>
      <patternFill patternType="solid">
        <fgColor rgb="FFD6EAF8"/>
        <bgColor rgb="FFEAF2FF"/>
      </patternFill>
    </fill>
    <fill>
      <patternFill patternType="solid">
        <fgColor rgb="FFFEF9E7"/>
        <bgColor rgb="FFF2F3F4"/>
      </patternFill>
    </fill>
    <fill>
      <patternFill patternType="solid">
        <fgColor rgb="FFF2F3F4"/>
        <bgColor rgb="FFF2F2F2"/>
      </patternFill>
    </fill>
    <fill>
      <patternFill patternType="solid">
        <fgColor rgb="FF1F618D"/>
        <bgColor rgb="FF1A5276"/>
      </patternFill>
    </fill>
    <fill>
      <patternFill patternType="solid">
        <fgColor rgb="FFFFFFFF"/>
        <bgColor rgb="FFFEF9E7"/>
      </patternFill>
    </fill>
    <fill>
      <patternFill patternType="solid">
        <fgColor theme="0" tint="-4.9989318521683403E-2"/>
        <bgColor rgb="FFF2F3F4"/>
      </patternFill>
    </fill>
    <fill>
      <patternFill patternType="solid">
        <fgColor rgb="FFF2F3F4"/>
        <bgColor rgb="FFEAF2FF"/>
      </patternFill>
    </fill>
    <fill>
      <patternFill patternType="solid">
        <fgColor rgb="FFFADBD8"/>
        <bgColor rgb="FFFDEBD0"/>
      </patternFill>
    </fill>
    <fill>
      <patternFill patternType="darkUp">
        <fgColor auto="1"/>
        <bgColor theme="0"/>
      </patternFill>
    </fill>
    <fill>
      <patternFill patternType="solid">
        <fgColor rgb="FFFDEBD0"/>
        <bgColor rgb="FFFADBD8"/>
      </patternFill>
    </fill>
    <fill>
      <patternFill patternType="solid">
        <fgColor rgb="FF2E86C1"/>
        <bgColor rgb="FF008080"/>
      </patternFill>
    </fill>
    <fill>
      <patternFill patternType="solid">
        <fgColor rgb="FFF2F3F4"/>
        <bgColor rgb="FFF2F3F4"/>
      </patternFill>
    </fill>
  </fills>
  <borders count="1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CCCCCC"/>
      </left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ck">
        <color auto="1"/>
      </right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 style="thick">
        <color auto="1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rgb="FF999999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" fillId="0" borderId="0"/>
    <xf numFmtId="9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/>
    <xf numFmtId="168" fontId="2" fillId="0" borderId="0" applyFont="0" applyFill="0" applyBorder="0" applyAlignment="0" applyProtection="0"/>
    <xf numFmtId="0" fontId="20" fillId="0" borderId="0"/>
    <xf numFmtId="17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11" fillId="0" borderId="0"/>
    <xf numFmtId="0" fontId="63" fillId="0" borderId="0"/>
    <xf numFmtId="9" fontId="74" fillId="0" borderId="0"/>
  </cellStyleXfs>
  <cellXfs count="911">
    <xf numFmtId="0" fontId="0" fillId="0" borderId="0" xfId="0"/>
    <xf numFmtId="170" fontId="23" fillId="16" borderId="8" xfId="8" applyFont="1" applyFill="1" applyBorder="1" applyAlignment="1" applyProtection="1">
      <alignment horizontal="center" vertical="center"/>
    </xf>
    <xf numFmtId="170" fontId="23" fillId="16" borderId="8" xfId="8" applyFont="1" applyFill="1" applyBorder="1" applyAlignment="1" applyProtection="1">
      <alignment vertical="center"/>
    </xf>
    <xf numFmtId="9" fontId="18" fillId="5" borderId="4" xfId="2" applyFont="1" applyFill="1" applyBorder="1" applyAlignment="1" applyProtection="1">
      <alignment vertical="center"/>
    </xf>
    <xf numFmtId="173" fontId="18" fillId="5" borderId="7" xfId="2" applyNumberFormat="1" applyFont="1" applyFill="1" applyBorder="1" applyAlignment="1" applyProtection="1">
      <alignment vertical="center"/>
    </xf>
    <xf numFmtId="10" fontId="18" fillId="5" borderId="7" xfId="2" applyNumberFormat="1" applyFont="1" applyFill="1" applyBorder="1" applyAlignment="1" applyProtection="1">
      <alignment vertical="center"/>
    </xf>
    <xf numFmtId="9" fontId="18" fillId="5" borderId="10" xfId="2" applyFont="1" applyFill="1" applyBorder="1" applyAlignment="1" applyProtection="1">
      <alignment vertical="center"/>
    </xf>
    <xf numFmtId="14" fontId="18" fillId="14" borderId="8" xfId="8" applyNumberFormat="1" applyFont="1" applyFill="1" applyBorder="1" applyAlignment="1" applyProtection="1">
      <alignment horizontal="center" vertical="center" wrapText="1"/>
    </xf>
    <xf numFmtId="44" fontId="18" fillId="7" borderId="8" xfId="3" applyFont="1" applyFill="1" applyBorder="1" applyProtection="1"/>
    <xf numFmtId="44" fontId="18" fillId="7" borderId="46" xfId="3" applyFont="1" applyFill="1" applyBorder="1" applyProtection="1"/>
    <xf numFmtId="9" fontId="16" fillId="14" borderId="8" xfId="4" applyFont="1" applyFill="1" applyBorder="1" applyAlignment="1" applyProtection="1">
      <alignment horizontal="center" vertical="center" wrapText="1"/>
    </xf>
    <xf numFmtId="10" fontId="16" fillId="14" borderId="0" xfId="4" applyNumberFormat="1" applyFont="1" applyFill="1" applyBorder="1" applyAlignment="1" applyProtection="1">
      <alignment horizontal="center" vertical="center"/>
    </xf>
    <xf numFmtId="167" fontId="1" fillId="11" borderId="37" xfId="4" applyNumberFormat="1" applyFont="1" applyFill="1" applyBorder="1" applyAlignment="1" applyProtection="1">
      <alignment horizontal="center" vertical="center"/>
    </xf>
    <xf numFmtId="10" fontId="16" fillId="14" borderId="37" xfId="4" applyNumberFormat="1" applyFont="1" applyFill="1" applyBorder="1" applyAlignment="1" applyProtection="1">
      <alignment horizontal="center" vertical="center"/>
    </xf>
    <xf numFmtId="167" fontId="1" fillId="11" borderId="59" xfId="4" applyNumberFormat="1" applyFont="1" applyFill="1" applyBorder="1" applyAlignment="1" applyProtection="1">
      <alignment horizontal="center" vertical="center"/>
    </xf>
    <xf numFmtId="173" fontId="1" fillId="14" borderId="8" xfId="4" applyNumberFormat="1" applyFont="1" applyFill="1" applyBorder="1" applyAlignment="1" applyProtection="1">
      <alignment horizontal="center" vertical="center"/>
    </xf>
    <xf numFmtId="9" fontId="34" fillId="14" borderId="8" xfId="2" applyFont="1" applyFill="1" applyBorder="1" applyAlignment="1" applyProtection="1">
      <alignment horizontal="center" vertical="center"/>
    </xf>
    <xf numFmtId="10" fontId="34" fillId="14" borderId="8" xfId="2" applyNumberFormat="1" applyFont="1" applyFill="1" applyBorder="1" applyAlignment="1" applyProtection="1">
      <alignment horizontal="center" vertical="center"/>
    </xf>
    <xf numFmtId="44" fontId="16" fillId="14" borderId="12" xfId="3" applyFont="1" applyFill="1" applyBorder="1" applyProtection="1"/>
    <xf numFmtId="9" fontId="18" fillId="0" borderId="0" xfId="2" applyFont="1" applyAlignment="1" applyProtection="1">
      <alignment vertical="center"/>
    </xf>
    <xf numFmtId="178" fontId="31" fillId="14" borderId="34" xfId="3" applyNumberFormat="1" applyFont="1" applyFill="1" applyBorder="1" applyAlignment="1" applyProtection="1">
      <alignment horizontal="left" vertical="center" wrapText="1"/>
    </xf>
    <xf numFmtId="178" fontId="29" fillId="14" borderId="34" xfId="3" applyNumberFormat="1" applyFont="1" applyFill="1" applyBorder="1" applyAlignment="1" applyProtection="1">
      <alignment horizontal="center" vertical="center" wrapText="1"/>
    </xf>
    <xf numFmtId="178" fontId="31" fillId="14" borderId="34" xfId="3" applyNumberFormat="1" applyFont="1" applyFill="1" applyBorder="1" applyAlignment="1" applyProtection="1">
      <alignment horizontal="center" vertical="center" wrapText="1"/>
    </xf>
    <xf numFmtId="0" fontId="14" fillId="14" borderId="0" xfId="0" applyFont="1" applyFill="1"/>
    <xf numFmtId="164" fontId="16" fillId="10" borderId="8" xfId="1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0" fontId="18" fillId="7" borderId="68" xfId="0" applyFont="1" applyFill="1" applyBorder="1"/>
    <xf numFmtId="0" fontId="1" fillId="16" borderId="1" xfId="0" applyFont="1" applyFill="1" applyBorder="1" applyAlignment="1">
      <alignment horizontal="center" vertical="center" wrapText="1"/>
    </xf>
    <xf numFmtId="0" fontId="1" fillId="16" borderId="2" xfId="0" applyFont="1" applyFill="1" applyBorder="1" applyAlignment="1">
      <alignment horizontal="center" vertical="center" wrapText="1"/>
    </xf>
    <xf numFmtId="0" fontId="1" fillId="16" borderId="3" xfId="0" applyFont="1" applyFill="1" applyBorder="1" applyAlignment="1">
      <alignment horizontal="center" vertical="center" wrapText="1"/>
    </xf>
    <xf numFmtId="0" fontId="18" fillId="0" borderId="0" xfId="5" applyFont="1"/>
    <xf numFmtId="0" fontId="19" fillId="0" borderId="0" xfId="5" applyFont="1" applyAlignment="1">
      <alignment horizontal="center" vertical="center" wrapText="1"/>
    </xf>
    <xf numFmtId="44" fontId="21" fillId="0" borderId="0" xfId="5" applyNumberFormat="1" applyFont="1" applyAlignment="1">
      <alignment vertical="center" wrapText="1"/>
    </xf>
    <xf numFmtId="0" fontId="19" fillId="0" borderId="0" xfId="5" applyFont="1" applyAlignment="1">
      <alignment vertical="center" wrapText="1"/>
    </xf>
    <xf numFmtId="0" fontId="18" fillId="0" borderId="0" xfId="5" applyFont="1" applyAlignment="1">
      <alignment vertical="center"/>
    </xf>
    <xf numFmtId="14" fontId="18" fillId="0" borderId="0" xfId="5" applyNumberFormat="1" applyFont="1" applyAlignment="1">
      <alignment vertical="center"/>
    </xf>
    <xf numFmtId="169" fontId="18" fillId="0" borderId="0" xfId="5" applyNumberFormat="1" applyFont="1" applyAlignment="1">
      <alignment vertical="center"/>
    </xf>
    <xf numFmtId="0" fontId="21" fillId="16" borderId="0" xfId="5" applyFont="1" applyFill="1" applyAlignment="1">
      <alignment horizontal="center" vertical="center"/>
    </xf>
    <xf numFmtId="0" fontId="21" fillId="16" borderId="8" xfId="5" applyFont="1" applyFill="1" applyBorder="1" applyAlignment="1">
      <alignment vertical="center"/>
    </xf>
    <xf numFmtId="0" fontId="21" fillId="16" borderId="8" xfId="5" applyFont="1" applyFill="1" applyBorder="1" applyAlignment="1">
      <alignment horizontal="center" vertical="center"/>
    </xf>
    <xf numFmtId="0" fontId="21" fillId="7" borderId="8" xfId="0" applyFont="1" applyFill="1" applyBorder="1"/>
    <xf numFmtId="0" fontId="21" fillId="7" borderId="0" xfId="0" applyFont="1" applyFill="1"/>
    <xf numFmtId="1" fontId="18" fillId="0" borderId="0" xfId="5" applyNumberFormat="1" applyFont="1" applyAlignment="1">
      <alignment vertical="center"/>
    </xf>
    <xf numFmtId="0" fontId="21" fillId="14" borderId="34" xfId="5" applyFont="1" applyFill="1" applyBorder="1" applyAlignment="1">
      <alignment vertical="center"/>
    </xf>
    <xf numFmtId="0" fontId="21" fillId="14" borderId="35" xfId="5" applyFont="1" applyFill="1" applyBorder="1" applyAlignment="1">
      <alignment vertical="center"/>
    </xf>
    <xf numFmtId="169" fontId="18" fillId="14" borderId="35" xfId="5" applyNumberFormat="1" applyFont="1" applyFill="1" applyBorder="1" applyAlignment="1">
      <alignment vertical="center"/>
    </xf>
    <xf numFmtId="169" fontId="21" fillId="14" borderId="35" xfId="5" applyNumberFormat="1" applyFont="1" applyFill="1" applyBorder="1" applyAlignment="1">
      <alignment vertical="center"/>
    </xf>
    <xf numFmtId="44" fontId="21" fillId="14" borderId="35" xfId="5" applyNumberFormat="1" applyFont="1" applyFill="1" applyBorder="1" applyAlignment="1">
      <alignment vertical="center"/>
    </xf>
    <xf numFmtId="44" fontId="21" fillId="14" borderId="36" xfId="5" applyNumberFormat="1" applyFont="1" applyFill="1" applyBorder="1" applyAlignment="1">
      <alignment vertical="center"/>
    </xf>
    <xf numFmtId="0" fontId="21" fillId="14" borderId="34" xfId="7" applyFont="1" applyFill="1" applyBorder="1" applyAlignment="1">
      <alignment horizontal="left" vertical="center"/>
    </xf>
    <xf numFmtId="166" fontId="18" fillId="14" borderId="35" xfId="5" applyNumberFormat="1" applyFont="1" applyFill="1" applyBorder="1" applyAlignment="1">
      <alignment vertical="center"/>
    </xf>
    <xf numFmtId="166" fontId="21" fillId="14" borderId="35" xfId="5" applyNumberFormat="1" applyFont="1" applyFill="1" applyBorder="1" applyAlignment="1">
      <alignment vertical="center"/>
    </xf>
    <xf numFmtId="0" fontId="18" fillId="14" borderId="35" xfId="5" applyFont="1" applyFill="1" applyBorder="1" applyAlignment="1">
      <alignment vertical="center"/>
    </xf>
    <xf numFmtId="0" fontId="18" fillId="14" borderId="36" xfId="5" applyFont="1" applyFill="1" applyBorder="1" applyAlignment="1">
      <alignment vertical="center"/>
    </xf>
    <xf numFmtId="0" fontId="18" fillId="14" borderId="0" xfId="5" applyFont="1" applyFill="1" applyAlignment="1">
      <alignment vertical="center"/>
    </xf>
    <xf numFmtId="169" fontId="18" fillId="14" borderId="0" xfId="5" applyNumberFormat="1" applyFont="1" applyFill="1" applyAlignment="1">
      <alignment vertical="center"/>
    </xf>
    <xf numFmtId="0" fontId="21" fillId="0" borderId="0" xfId="7" applyFont="1" applyAlignment="1">
      <alignment horizontal="left" vertical="center"/>
    </xf>
    <xf numFmtId="166" fontId="18" fillId="0" borderId="0" xfId="5" applyNumberFormat="1" applyFont="1" applyAlignment="1">
      <alignment vertical="center"/>
    </xf>
    <xf numFmtId="0" fontId="0" fillId="14" borderId="0" xfId="0" applyFill="1"/>
    <xf numFmtId="0" fontId="0" fillId="14" borderId="0" xfId="0" applyFill="1" applyAlignment="1">
      <alignment horizontal="left"/>
    </xf>
    <xf numFmtId="44" fontId="0" fillId="14" borderId="0" xfId="0" applyNumberFormat="1" applyFill="1"/>
    <xf numFmtId="0" fontId="30" fillId="0" borderId="0" xfId="5" applyFont="1" applyAlignment="1">
      <alignment vertical="center"/>
    </xf>
    <xf numFmtId="0" fontId="29" fillId="6" borderId="0" xfId="5" applyFont="1" applyFill="1" applyAlignment="1">
      <alignment vertical="center"/>
    </xf>
    <xf numFmtId="0" fontId="18" fillId="6" borderId="0" xfId="5" applyFont="1" applyFill="1" applyAlignment="1">
      <alignment horizontal="center" vertical="center"/>
    </xf>
    <xf numFmtId="0" fontId="21" fillId="14" borderId="8" xfId="5" applyFont="1" applyFill="1" applyBorder="1" applyAlignment="1">
      <alignment horizontal="center" vertical="center"/>
    </xf>
    <xf numFmtId="0" fontId="21" fillId="27" borderId="8" xfId="5" applyFont="1" applyFill="1" applyBorder="1" applyAlignment="1">
      <alignment horizontal="center" vertical="center"/>
    </xf>
    <xf numFmtId="0" fontId="18" fillId="0" borderId="0" xfId="5" applyFont="1" applyAlignment="1">
      <alignment horizontal="center" vertical="center"/>
    </xf>
    <xf numFmtId="0" fontId="18" fillId="27" borderId="0" xfId="5" applyFont="1" applyFill="1" applyAlignment="1">
      <alignment vertical="center"/>
    </xf>
    <xf numFmtId="0" fontId="21" fillId="6" borderId="51" xfId="5" applyFont="1" applyFill="1" applyBorder="1" applyAlignment="1">
      <alignment horizontal="center" vertical="center"/>
    </xf>
    <xf numFmtId="0" fontId="21" fillId="0" borderId="35" xfId="5" applyFont="1" applyBorder="1" applyAlignment="1">
      <alignment vertical="center"/>
    </xf>
    <xf numFmtId="0" fontId="21" fillId="0" borderId="36" xfId="5" applyFont="1" applyBorder="1" applyAlignment="1">
      <alignment vertical="center"/>
    </xf>
    <xf numFmtId="0" fontId="29" fillId="14" borderId="45" xfId="5" applyFont="1" applyFill="1" applyBorder="1" applyAlignment="1">
      <alignment horizontal="center" vertical="center" wrapText="1"/>
    </xf>
    <xf numFmtId="0" fontId="29" fillId="27" borderId="45" xfId="5" applyFont="1" applyFill="1" applyBorder="1" applyAlignment="1">
      <alignment horizontal="center" vertical="center" wrapText="1"/>
    </xf>
    <xf numFmtId="166" fontId="29" fillId="0" borderId="35" xfId="5" applyNumberFormat="1" applyFont="1" applyBorder="1" applyAlignment="1">
      <alignment vertical="center"/>
    </xf>
    <xf numFmtId="166" fontId="29" fillId="0" borderId="36" xfId="5" applyNumberFormat="1" applyFont="1" applyBorder="1" applyAlignment="1">
      <alignment vertical="center"/>
    </xf>
    <xf numFmtId="0" fontId="29" fillId="11" borderId="31" xfId="5" applyFont="1" applyFill="1" applyBorder="1" applyAlignment="1">
      <alignment horizontal="center" vertical="center"/>
    </xf>
    <xf numFmtId="0" fontId="29" fillId="27" borderId="31" xfId="5" applyFont="1" applyFill="1" applyBorder="1" applyAlignment="1">
      <alignment horizontal="center" vertical="center"/>
    </xf>
    <xf numFmtId="166" fontId="29" fillId="11" borderId="45" xfId="5" applyNumberFormat="1" applyFont="1" applyFill="1" applyBorder="1" applyAlignment="1">
      <alignment horizontal="center" vertical="center" wrapText="1"/>
    </xf>
    <xf numFmtId="0" fontId="18" fillId="0" borderId="0" xfId="5" applyFont="1" applyAlignment="1">
      <alignment vertical="center" wrapText="1"/>
    </xf>
    <xf numFmtId="166" fontId="29" fillId="14" borderId="1" xfId="5" applyNumberFormat="1" applyFont="1" applyFill="1" applyBorder="1" applyAlignment="1">
      <alignment horizontal="center" vertical="center"/>
    </xf>
    <xf numFmtId="166" fontId="29" fillId="14" borderId="32" xfId="5" applyNumberFormat="1" applyFont="1" applyFill="1" applyBorder="1" applyAlignment="1">
      <alignment horizontal="center" vertical="center"/>
    </xf>
    <xf numFmtId="0" fontId="29" fillId="27" borderId="32" xfId="5" applyFont="1" applyFill="1" applyBorder="1" applyAlignment="1">
      <alignment horizontal="center" vertical="center"/>
    </xf>
    <xf numFmtId="0" fontId="29" fillId="27" borderId="0" xfId="5" applyFont="1" applyFill="1" applyAlignment="1">
      <alignment horizontal="left" vertical="center"/>
    </xf>
    <xf numFmtId="0" fontId="29" fillId="27" borderId="35" xfId="5" applyFont="1" applyFill="1" applyBorder="1" applyAlignment="1">
      <alignment horizontal="center" vertical="center"/>
    </xf>
    <xf numFmtId="0" fontId="29" fillId="11" borderId="1" xfId="5" applyFont="1" applyFill="1" applyBorder="1" applyAlignment="1">
      <alignment horizontal="left" vertical="center" wrapText="1"/>
    </xf>
    <xf numFmtId="166" fontId="29" fillId="14" borderId="1" xfId="5" applyNumberFormat="1" applyFont="1" applyFill="1" applyBorder="1" applyAlignment="1">
      <alignment horizontal="center" vertical="center" wrapText="1"/>
    </xf>
    <xf numFmtId="9" fontId="29" fillId="14" borderId="35" xfId="4" applyFont="1" applyFill="1" applyBorder="1" applyAlignment="1" applyProtection="1">
      <alignment horizontal="center" vertical="center" wrapText="1"/>
    </xf>
    <xf numFmtId="0" fontId="29" fillId="27" borderId="35" xfId="5" applyFont="1" applyFill="1" applyBorder="1" applyAlignment="1">
      <alignment horizontal="left" vertical="center" wrapText="1"/>
    </xf>
    <xf numFmtId="166" fontId="29" fillId="14" borderId="7" xfId="5" applyNumberFormat="1" applyFont="1" applyFill="1" applyBorder="1" applyAlignment="1">
      <alignment horizontal="center" vertical="center" wrapText="1"/>
    </xf>
    <xf numFmtId="0" fontId="29" fillId="27" borderId="23" xfId="5" applyFont="1" applyFill="1" applyBorder="1" applyAlignment="1">
      <alignment horizontal="left" vertical="center" wrapText="1"/>
    </xf>
    <xf numFmtId="0" fontId="31" fillId="27" borderId="23" xfId="5" applyFont="1" applyFill="1" applyBorder="1" applyAlignment="1">
      <alignment horizontal="right" vertical="center" wrapText="1"/>
    </xf>
    <xf numFmtId="0" fontId="29" fillId="27" borderId="23" xfId="5" quotePrefix="1" applyFont="1" applyFill="1" applyBorder="1" applyAlignment="1">
      <alignment horizontal="left" vertical="center" wrapText="1"/>
    </xf>
    <xf numFmtId="166" fontId="31" fillId="29" borderId="7" xfId="5" applyNumberFormat="1" applyFont="1" applyFill="1" applyBorder="1" applyAlignment="1">
      <alignment horizontal="center" vertical="center" wrapText="1"/>
    </xf>
    <xf numFmtId="9" fontId="29" fillId="29" borderId="35" xfId="4" applyFont="1" applyFill="1" applyBorder="1" applyAlignment="1" applyProtection="1">
      <alignment horizontal="center" vertical="center" wrapText="1"/>
    </xf>
    <xf numFmtId="0" fontId="31" fillId="27" borderId="29" xfId="5" applyFont="1" applyFill="1" applyBorder="1" applyAlignment="1">
      <alignment horizontal="right" vertical="center" wrapText="1"/>
    </xf>
    <xf numFmtId="0" fontId="31" fillId="27" borderId="56" xfId="5" quotePrefix="1" applyFont="1" applyFill="1" applyBorder="1" applyAlignment="1">
      <alignment horizontal="left" vertical="center" wrapText="1"/>
    </xf>
    <xf numFmtId="166" fontId="29" fillId="14" borderId="7" xfId="5" quotePrefix="1" applyNumberFormat="1" applyFont="1" applyFill="1" applyBorder="1" applyAlignment="1">
      <alignment horizontal="center" vertical="center" wrapText="1"/>
    </xf>
    <xf numFmtId="0" fontId="31" fillId="27" borderId="23" xfId="5" quotePrefix="1" applyFont="1" applyFill="1" applyBorder="1" applyAlignment="1">
      <alignment horizontal="right" vertical="center" wrapText="1"/>
    </xf>
    <xf numFmtId="0" fontId="29" fillId="27" borderId="0" xfId="5" applyFont="1" applyFill="1" applyAlignment="1">
      <alignment horizontal="left" vertical="center" wrapText="1"/>
    </xf>
    <xf numFmtId="166" fontId="29" fillId="28" borderId="1" xfId="5" applyNumberFormat="1" applyFont="1" applyFill="1" applyBorder="1" applyAlignment="1">
      <alignment horizontal="center" vertical="center" wrapText="1"/>
    </xf>
    <xf numFmtId="166" fontId="31" fillId="14" borderId="7" xfId="5" applyNumberFormat="1" applyFont="1" applyFill="1" applyBorder="1" applyAlignment="1">
      <alignment horizontal="center" vertical="center" wrapText="1"/>
    </xf>
    <xf numFmtId="9" fontId="29" fillId="28" borderId="35" xfId="4" applyFont="1" applyFill="1" applyBorder="1" applyAlignment="1" applyProtection="1">
      <alignment horizontal="center" vertical="center" wrapText="1"/>
    </xf>
    <xf numFmtId="0" fontId="21" fillId="11" borderId="1" xfId="5" applyFont="1" applyFill="1" applyBorder="1" applyAlignment="1">
      <alignment horizontal="right" vertical="center" wrapText="1"/>
    </xf>
    <xf numFmtId="0" fontId="31" fillId="27" borderId="56" xfId="5" applyFont="1" applyFill="1" applyBorder="1" applyAlignment="1">
      <alignment horizontal="right" vertical="center" wrapText="1"/>
    </xf>
    <xf numFmtId="0" fontId="31" fillId="0" borderId="0" xfId="5" applyFont="1" applyAlignment="1">
      <alignment vertical="center"/>
    </xf>
    <xf numFmtId="166" fontId="18" fillId="0" borderId="0" xfId="5" applyNumberFormat="1" applyFont="1" applyAlignment="1">
      <alignment horizontal="center" vertical="center"/>
    </xf>
    <xf numFmtId="0" fontId="48" fillId="16" borderId="0" xfId="0" applyFont="1" applyFill="1" applyAlignment="1">
      <alignment horizontal="center"/>
    </xf>
    <xf numFmtId="0" fontId="47" fillId="17" borderId="0" xfId="0" applyFont="1" applyFill="1"/>
    <xf numFmtId="0" fontId="47" fillId="0" borderId="0" xfId="0" applyFont="1"/>
    <xf numFmtId="0" fontId="47" fillId="14" borderId="8" xfId="0" quotePrefix="1" applyFont="1" applyFill="1" applyBorder="1" applyAlignment="1">
      <alignment horizontal="center"/>
    </xf>
    <xf numFmtId="0" fontId="47" fillId="14" borderId="8" xfId="0" applyFont="1" applyFill="1" applyBorder="1"/>
    <xf numFmtId="0" fontId="47" fillId="14" borderId="8" xfId="0" quotePrefix="1" applyFont="1" applyFill="1" applyBorder="1"/>
    <xf numFmtId="0" fontId="47" fillId="14" borderId="8" xfId="0" applyFont="1" applyFill="1" applyBorder="1" applyAlignment="1">
      <alignment horizontal="left"/>
    </xf>
    <xf numFmtId="0" fontId="49" fillId="14" borderId="8" xfId="0" applyFont="1" applyFill="1" applyBorder="1" applyAlignment="1">
      <alignment horizontal="center" vertical="top" wrapText="1"/>
    </xf>
    <xf numFmtId="0" fontId="47" fillId="14" borderId="8" xfId="0" applyFont="1" applyFill="1" applyBorder="1" applyAlignment="1">
      <alignment horizontal="left" wrapText="1"/>
    </xf>
    <xf numFmtId="44" fontId="47" fillId="14" borderId="8" xfId="3" applyFont="1" applyFill="1" applyBorder="1" applyAlignment="1" applyProtection="1">
      <alignment horizontal="left" wrapText="1"/>
    </xf>
    <xf numFmtId="9" fontId="47" fillId="14" borderId="8" xfId="4" applyFont="1" applyFill="1" applyBorder="1" applyAlignment="1" applyProtection="1">
      <alignment horizontal="left" wrapText="1"/>
    </xf>
    <xf numFmtId="10" fontId="47" fillId="14" borderId="8" xfId="4" applyNumberFormat="1" applyFont="1" applyFill="1" applyBorder="1" applyAlignment="1" applyProtection="1">
      <alignment horizontal="left" wrapText="1"/>
    </xf>
    <xf numFmtId="0" fontId="47" fillId="14" borderId="0" xfId="0" applyFont="1" applyFill="1"/>
    <xf numFmtId="0" fontId="47" fillId="25" borderId="0" xfId="0" applyFont="1" applyFill="1"/>
    <xf numFmtId="0" fontId="47" fillId="14" borderId="8" xfId="3" applyNumberFormat="1" applyFont="1" applyFill="1" applyBorder="1" applyAlignment="1" applyProtection="1">
      <alignment horizontal="left" wrapText="1"/>
    </xf>
    <xf numFmtId="0" fontId="47" fillId="16" borderId="47" xfId="0" applyFont="1" applyFill="1" applyBorder="1" applyAlignment="1">
      <alignment horizontal="center" vertical="center"/>
    </xf>
    <xf numFmtId="0" fontId="47" fillId="16" borderId="44" xfId="0" applyFont="1" applyFill="1" applyBorder="1" applyAlignment="1">
      <alignment horizontal="center" vertical="center"/>
    </xf>
    <xf numFmtId="0" fontId="47" fillId="16" borderId="41" xfId="0" applyFont="1" applyFill="1" applyBorder="1" applyAlignment="1">
      <alignment horizontal="center" vertical="center"/>
    </xf>
    <xf numFmtId="0" fontId="47" fillId="16" borderId="55" xfId="0" applyFont="1" applyFill="1" applyBorder="1" applyAlignment="1">
      <alignment horizontal="center" vertical="center"/>
    </xf>
    <xf numFmtId="10" fontId="48" fillId="14" borderId="8" xfId="4" applyNumberFormat="1" applyFont="1" applyFill="1" applyBorder="1" applyProtection="1"/>
    <xf numFmtId="9" fontId="48" fillId="14" borderId="8" xfId="4" applyFont="1" applyFill="1" applyBorder="1" applyProtection="1"/>
    <xf numFmtId="0" fontId="48" fillId="14" borderId="8" xfId="3" applyNumberFormat="1" applyFont="1" applyFill="1" applyBorder="1" applyProtection="1"/>
    <xf numFmtId="173" fontId="47" fillId="14" borderId="46" xfId="4" applyNumberFormat="1" applyFont="1" applyFill="1" applyBorder="1" applyProtection="1"/>
    <xf numFmtId="173" fontId="47" fillId="17" borderId="0" xfId="4" applyNumberFormat="1" applyFont="1" applyFill="1" applyProtection="1"/>
    <xf numFmtId="173" fontId="48" fillId="14" borderId="8" xfId="4" applyNumberFormat="1" applyFont="1" applyFill="1" applyBorder="1" applyProtection="1"/>
    <xf numFmtId="1" fontId="47" fillId="14" borderId="8" xfId="0" applyNumberFormat="1" applyFont="1" applyFill="1" applyBorder="1"/>
    <xf numFmtId="44" fontId="48" fillId="14" borderId="8" xfId="3" applyFont="1" applyFill="1" applyBorder="1" applyProtection="1"/>
    <xf numFmtId="9" fontId="47" fillId="14" borderId="8" xfId="4" applyFont="1" applyFill="1" applyBorder="1" applyProtection="1"/>
    <xf numFmtId="1" fontId="47" fillId="14" borderId="0" xfId="0" applyNumberFormat="1" applyFont="1" applyFill="1"/>
    <xf numFmtId="44" fontId="47" fillId="14" borderId="0" xfId="0" applyNumberFormat="1" applyFont="1" applyFill="1"/>
    <xf numFmtId="44" fontId="48" fillId="14" borderId="8" xfId="0" applyNumberFormat="1" applyFont="1" applyFill="1" applyBorder="1"/>
    <xf numFmtId="9" fontId="47" fillId="14" borderId="0" xfId="4" applyFont="1" applyFill="1" applyProtection="1"/>
    <xf numFmtId="44" fontId="47" fillId="14" borderId="0" xfId="3" applyFont="1" applyFill="1" applyProtection="1"/>
    <xf numFmtId="44" fontId="47" fillId="14" borderId="8" xfId="0" applyNumberFormat="1" applyFont="1" applyFill="1" applyBorder="1"/>
    <xf numFmtId="9" fontId="48" fillId="0" borderId="0" xfId="4" applyFont="1" applyFill="1" applyBorder="1" applyProtection="1"/>
    <xf numFmtId="2" fontId="47" fillId="14" borderId="8" xfId="0" applyNumberFormat="1" applyFont="1" applyFill="1" applyBorder="1"/>
    <xf numFmtId="0" fontId="47" fillId="16" borderId="0" xfId="0" applyFont="1" applyFill="1" applyAlignment="1">
      <alignment horizontal="center"/>
    </xf>
    <xf numFmtId="0" fontId="47" fillId="16" borderId="0" xfId="0" applyFont="1" applyFill="1" applyAlignment="1">
      <alignment horizontal="left"/>
    </xf>
    <xf numFmtId="0" fontId="47" fillId="16" borderId="0" xfId="0" applyFont="1" applyFill="1"/>
    <xf numFmtId="10" fontId="47" fillId="14" borderId="8" xfId="4" applyNumberFormat="1" applyFont="1" applyFill="1" applyBorder="1" applyProtection="1"/>
    <xf numFmtId="10" fontId="48" fillId="14" borderId="0" xfId="4" applyNumberFormat="1" applyFont="1" applyFill="1" applyBorder="1" applyProtection="1"/>
    <xf numFmtId="2" fontId="47" fillId="14" borderId="0" xfId="4" applyNumberFormat="1" applyFont="1" applyFill="1" applyProtection="1"/>
    <xf numFmtId="2" fontId="48" fillId="14" borderId="0" xfId="4" applyNumberFormat="1" applyFont="1" applyFill="1" applyBorder="1" applyProtection="1"/>
    <xf numFmtId="0" fontId="51" fillId="26" borderId="0" xfId="0" applyFont="1" applyFill="1" applyAlignment="1">
      <alignment horizontal="center"/>
    </xf>
    <xf numFmtId="0" fontId="51" fillId="26" borderId="0" xfId="0" applyFont="1" applyFill="1"/>
    <xf numFmtId="173" fontId="0" fillId="0" borderId="0" xfId="0" applyNumberFormat="1"/>
    <xf numFmtId="0" fontId="14" fillId="14" borderId="8" xfId="0" applyFont="1" applyFill="1" applyBorder="1"/>
    <xf numFmtId="0" fontId="51" fillId="14" borderId="8" xfId="0" applyFont="1" applyFill="1" applyBorder="1"/>
    <xf numFmtId="0" fontId="0" fillId="14" borderId="8" xfId="0" applyFill="1" applyBorder="1"/>
    <xf numFmtId="0" fontId="14" fillId="24" borderId="8" xfId="0" applyFont="1" applyFill="1" applyBorder="1"/>
    <xf numFmtId="181" fontId="0" fillId="14" borderId="8" xfId="0" applyNumberFormat="1" applyFill="1" applyBorder="1"/>
    <xf numFmtId="173" fontId="0" fillId="14" borderId="8" xfId="0" applyNumberFormat="1" applyFill="1" applyBorder="1"/>
    <xf numFmtId="44" fontId="0" fillId="0" borderId="0" xfId="0" applyNumberFormat="1"/>
    <xf numFmtId="0" fontId="0" fillId="25" borderId="0" xfId="0" applyFill="1"/>
    <xf numFmtId="2" fontId="0" fillId="25" borderId="0" xfId="0" applyNumberFormat="1" applyFill="1"/>
    <xf numFmtId="173" fontId="0" fillId="25" borderId="0" xfId="0" applyNumberFormat="1" applyFill="1"/>
    <xf numFmtId="2" fontId="0" fillId="14" borderId="8" xfId="0" applyNumberFormat="1" applyFill="1" applyBorder="1"/>
    <xf numFmtId="44" fontId="0" fillId="14" borderId="8" xfId="3" applyFont="1" applyFill="1" applyBorder="1" applyProtection="1"/>
    <xf numFmtId="44" fontId="0" fillId="14" borderId="8" xfId="0" applyNumberFormat="1" applyFill="1" applyBorder="1"/>
    <xf numFmtId="0" fontId="0" fillId="6" borderId="0" xfId="0" applyFill="1"/>
    <xf numFmtId="0" fontId="47" fillId="14" borderId="0" xfId="0" applyFont="1" applyFill="1" applyAlignment="1">
      <alignment horizontal="center" wrapText="1"/>
    </xf>
    <xf numFmtId="0" fontId="47" fillId="14" borderId="0" xfId="0" quotePrefix="1" applyFont="1" applyFill="1" applyAlignment="1">
      <alignment horizontal="center" wrapText="1"/>
    </xf>
    <xf numFmtId="0" fontId="47" fillId="14" borderId="0" xfId="0" applyFont="1" applyFill="1" applyAlignment="1">
      <alignment wrapText="1"/>
    </xf>
    <xf numFmtId="0" fontId="47" fillId="14" borderId="0" xfId="0" quotePrefix="1" applyFont="1" applyFill="1" applyAlignment="1">
      <alignment wrapText="1"/>
    </xf>
    <xf numFmtId="0" fontId="47" fillId="14" borderId="0" xfId="0" applyFont="1" applyFill="1" applyAlignment="1">
      <alignment horizontal="left"/>
    </xf>
    <xf numFmtId="0" fontId="47" fillId="14" borderId="0" xfId="0" applyFont="1" applyFill="1" applyAlignment="1">
      <alignment horizontal="left" wrapText="1"/>
    </xf>
    <xf numFmtId="0" fontId="48" fillId="17" borderId="0" xfId="0" applyFont="1" applyFill="1" applyAlignment="1">
      <alignment horizontal="left"/>
    </xf>
    <xf numFmtId="0" fontId="47" fillId="17" borderId="0" xfId="0" applyFont="1" applyFill="1" applyAlignment="1">
      <alignment horizontal="left"/>
    </xf>
    <xf numFmtId="0" fontId="48" fillId="17" borderId="50" xfId="0" applyFont="1" applyFill="1" applyBorder="1"/>
    <xf numFmtId="1" fontId="47" fillId="14" borderId="0" xfId="0" applyNumberFormat="1" applyFont="1" applyFill="1" applyAlignment="1">
      <alignment horizontal="left" wrapText="1"/>
    </xf>
    <xf numFmtId="1" fontId="47" fillId="14" borderId="19" xfId="0" applyNumberFormat="1" applyFont="1" applyFill="1" applyBorder="1" applyAlignment="1">
      <alignment horizontal="left" wrapText="1"/>
    </xf>
    <xf numFmtId="2" fontId="47" fillId="14" borderId="19" xfId="0" applyNumberFormat="1" applyFont="1" applyFill="1" applyBorder="1" applyAlignment="1">
      <alignment horizontal="left" wrapText="1"/>
    </xf>
    <xf numFmtId="2" fontId="47" fillId="14" borderId="51" xfId="0" applyNumberFormat="1" applyFont="1" applyFill="1" applyBorder="1" applyAlignment="1">
      <alignment horizontal="left" wrapText="1"/>
    </xf>
    <xf numFmtId="0" fontId="14" fillId="14" borderId="8" xfId="0" applyFont="1" applyFill="1" applyBorder="1" applyAlignment="1">
      <alignment horizontal="left"/>
    </xf>
    <xf numFmtId="1" fontId="13" fillId="18" borderId="8" xfId="0" applyNumberFormat="1" applyFont="1" applyFill="1" applyBorder="1" applyAlignment="1">
      <alignment horizontal="left" vertical="center" wrapText="1"/>
    </xf>
    <xf numFmtId="0" fontId="58" fillId="22" borderId="0" xfId="0" applyFont="1" applyFill="1" applyAlignment="1">
      <alignment horizontal="center" wrapText="1"/>
    </xf>
    <xf numFmtId="2" fontId="14" fillId="14" borderId="0" xfId="0" applyNumberFormat="1" applyFont="1" applyFill="1"/>
    <xf numFmtId="2" fontId="0" fillId="14" borderId="0" xfId="0" applyNumberFormat="1" applyFill="1"/>
    <xf numFmtId="165" fontId="0" fillId="14" borderId="0" xfId="0" applyNumberFormat="1" applyFill="1"/>
    <xf numFmtId="9" fontId="54" fillId="14" borderId="110" xfId="0" applyNumberFormat="1" applyFont="1" applyFill="1" applyBorder="1" applyAlignment="1">
      <alignment horizontal="center"/>
    </xf>
    <xf numFmtId="183" fontId="58" fillId="22" borderId="0" xfId="0" applyNumberFormat="1" applyFont="1" applyFill="1" applyAlignment="1">
      <alignment horizontal="center" wrapText="1"/>
    </xf>
    <xf numFmtId="183" fontId="0" fillId="0" borderId="0" xfId="0" applyNumberFormat="1"/>
    <xf numFmtId="184" fontId="14" fillId="0" borderId="0" xfId="0" applyNumberFormat="1" applyFont="1"/>
    <xf numFmtId="0" fontId="0" fillId="14" borderId="38" xfId="0" applyFill="1" applyBorder="1"/>
    <xf numFmtId="44" fontId="14" fillId="14" borderId="17" xfId="3" applyFont="1" applyFill="1" applyBorder="1" applyProtection="1"/>
    <xf numFmtId="0" fontId="14" fillId="14" borderId="15" xfId="0" applyFont="1" applyFill="1" applyBorder="1"/>
    <xf numFmtId="0" fontId="14" fillId="14" borderId="48" xfId="0" applyFont="1" applyFill="1" applyBorder="1"/>
    <xf numFmtId="0" fontId="14" fillId="14" borderId="49" xfId="0" applyFont="1" applyFill="1" applyBorder="1"/>
    <xf numFmtId="165" fontId="0" fillId="14" borderId="8" xfId="0" applyNumberFormat="1" applyFill="1" applyBorder="1"/>
    <xf numFmtId="0" fontId="0" fillId="14" borderId="34" xfId="0" applyFill="1" applyBorder="1"/>
    <xf numFmtId="9" fontId="0" fillId="14" borderId="35" xfId="0" applyNumberFormat="1" applyFill="1" applyBorder="1"/>
    <xf numFmtId="0" fontId="32" fillId="0" borderId="0" xfId="5" applyFont="1" applyAlignment="1">
      <alignment vertical="center"/>
    </xf>
    <xf numFmtId="0" fontId="21" fillId="6" borderId="45" xfId="5" applyFont="1" applyFill="1" applyBorder="1" applyAlignment="1">
      <alignment horizontal="center" vertical="center"/>
    </xf>
    <xf numFmtId="175" fontId="37" fillId="14" borderId="45" xfId="7" applyNumberFormat="1" applyFont="1" applyFill="1" applyBorder="1" applyAlignment="1">
      <alignment horizontal="center" vertical="center"/>
    </xf>
    <xf numFmtId="44" fontId="31" fillId="14" borderId="13" xfId="7" applyNumberFormat="1" applyFont="1" applyFill="1" applyBorder="1" applyAlignment="1">
      <alignment horizontal="right" vertical="center"/>
    </xf>
    <xf numFmtId="175" fontId="31" fillId="14" borderId="4" xfId="7" applyNumberFormat="1" applyFont="1" applyFill="1" applyBorder="1" applyAlignment="1">
      <alignment horizontal="center" vertical="center" wrapText="1"/>
    </xf>
    <xf numFmtId="175" fontId="31" fillId="14" borderId="5" xfId="7" applyNumberFormat="1" applyFont="1" applyFill="1" applyBorder="1" applyAlignment="1">
      <alignment horizontal="center" vertical="center" wrapText="1"/>
    </xf>
    <xf numFmtId="175" fontId="31" fillId="14" borderId="6" xfId="7" applyNumberFormat="1" applyFont="1" applyFill="1" applyBorder="1" applyAlignment="1">
      <alignment horizontal="center" vertical="center" wrapText="1"/>
    </xf>
    <xf numFmtId="0" fontId="29" fillId="6" borderId="48" xfId="7" applyFont="1" applyFill="1" applyBorder="1" applyAlignment="1">
      <alignment horizontal="left" vertical="center"/>
    </xf>
    <xf numFmtId="175" fontId="29" fillId="14" borderId="71" xfId="7" applyNumberFormat="1" applyFont="1" applyFill="1" applyBorder="1" applyAlignment="1">
      <alignment horizontal="center" vertical="center" wrapText="1"/>
    </xf>
    <xf numFmtId="0" fontId="35" fillId="16" borderId="13" xfId="5" applyFont="1" applyFill="1" applyBorder="1" applyAlignment="1">
      <alignment horizontal="right" vertical="center"/>
    </xf>
    <xf numFmtId="3" fontId="29" fillId="14" borderId="69" xfId="7" applyNumberFormat="1" applyFont="1" applyFill="1" applyBorder="1" applyAlignment="1">
      <alignment horizontal="center" vertical="center" wrapText="1"/>
    </xf>
    <xf numFmtId="175" fontId="29" fillId="0" borderId="0" xfId="7" applyNumberFormat="1" applyFont="1" applyAlignment="1">
      <alignment horizontal="center" vertical="center" wrapText="1"/>
    </xf>
    <xf numFmtId="0" fontId="29" fillId="6" borderId="34" xfId="7" applyFont="1" applyFill="1" applyBorder="1" applyAlignment="1">
      <alignment horizontal="left" vertical="center"/>
    </xf>
    <xf numFmtId="0" fontId="29" fillId="11" borderId="34" xfId="5" applyFont="1" applyFill="1" applyBorder="1" applyAlignment="1">
      <alignment vertical="center"/>
    </xf>
    <xf numFmtId="0" fontId="29" fillId="11" borderId="35" xfId="5" applyFont="1" applyFill="1" applyBorder="1" applyAlignment="1">
      <alignment vertical="center"/>
    </xf>
    <xf numFmtId="175" fontId="31" fillId="11" borderId="35" xfId="7" applyNumberFormat="1" applyFont="1" applyFill="1" applyBorder="1" applyAlignment="1">
      <alignment horizontal="center" vertical="center" wrapText="1"/>
    </xf>
    <xf numFmtId="175" fontId="31" fillId="11" borderId="36" xfId="7" applyNumberFormat="1" applyFont="1" applyFill="1" applyBorder="1" applyAlignment="1">
      <alignment horizontal="center" vertical="center" wrapText="1"/>
    </xf>
    <xf numFmtId="0" fontId="29" fillId="6" borderId="13" xfId="7" applyFont="1" applyFill="1" applyBorder="1" applyAlignment="1">
      <alignment horizontal="left" vertical="center"/>
    </xf>
    <xf numFmtId="175" fontId="29" fillId="14" borderId="4" xfId="7" applyNumberFormat="1" applyFont="1" applyFill="1" applyBorder="1" applyAlignment="1">
      <alignment horizontal="center" vertical="center" wrapText="1"/>
    </xf>
    <xf numFmtId="175" fontId="29" fillId="14" borderId="5" xfId="7" applyNumberFormat="1" applyFont="1" applyFill="1" applyBorder="1" applyAlignment="1">
      <alignment horizontal="center" vertical="center" wrapText="1"/>
    </xf>
    <xf numFmtId="175" fontId="29" fillId="14" borderId="6" xfId="7" applyNumberFormat="1" applyFont="1" applyFill="1" applyBorder="1" applyAlignment="1">
      <alignment horizontal="center" vertical="center" wrapText="1"/>
    </xf>
    <xf numFmtId="175" fontId="29" fillId="14" borderId="43" xfId="7" applyNumberFormat="1" applyFont="1" applyFill="1" applyBorder="1" applyAlignment="1">
      <alignment horizontal="center" vertical="center" wrapText="1"/>
    </xf>
    <xf numFmtId="175" fontId="29" fillId="14" borderId="46" xfId="7" applyNumberFormat="1" applyFont="1" applyFill="1" applyBorder="1" applyAlignment="1">
      <alignment horizontal="center" vertical="center" wrapText="1"/>
    </xf>
    <xf numFmtId="175" fontId="29" fillId="14" borderId="30" xfId="7" applyNumberFormat="1" applyFont="1" applyFill="1" applyBorder="1" applyAlignment="1">
      <alignment horizontal="center" vertical="center" wrapText="1"/>
    </xf>
    <xf numFmtId="0" fontId="29" fillId="6" borderId="26" xfId="7" applyFont="1" applyFill="1" applyBorder="1" applyAlignment="1">
      <alignment horizontal="left" vertical="center"/>
    </xf>
    <xf numFmtId="175" fontId="29" fillId="14" borderId="10" xfId="7" applyNumberFormat="1" applyFont="1" applyFill="1" applyBorder="1" applyAlignment="1">
      <alignment horizontal="center" vertical="center" wrapText="1"/>
    </xf>
    <xf numFmtId="175" fontId="29" fillId="6" borderId="4" xfId="7" applyNumberFormat="1" applyFont="1" applyFill="1" applyBorder="1" applyAlignment="1">
      <alignment horizontal="center" vertical="center" wrapText="1"/>
    </xf>
    <xf numFmtId="175" fontId="29" fillId="6" borderId="5" xfId="7" applyNumberFormat="1" applyFont="1" applyFill="1" applyBorder="1" applyAlignment="1">
      <alignment horizontal="center" vertical="center" wrapText="1"/>
    </xf>
    <xf numFmtId="175" fontId="29" fillId="6" borderId="6" xfId="7" applyNumberFormat="1" applyFont="1" applyFill="1" applyBorder="1" applyAlignment="1">
      <alignment horizontal="center" vertical="center" wrapText="1"/>
    </xf>
    <xf numFmtId="175" fontId="29" fillId="14" borderId="7" xfId="7" applyNumberFormat="1" applyFont="1" applyFill="1" applyBorder="1" applyAlignment="1">
      <alignment horizontal="center" vertical="center" wrapText="1"/>
    </xf>
    <xf numFmtId="175" fontId="29" fillId="14" borderId="8" xfId="7" applyNumberFormat="1" applyFont="1" applyFill="1" applyBorder="1" applyAlignment="1">
      <alignment horizontal="center" vertical="center" wrapText="1"/>
    </xf>
    <xf numFmtId="175" fontId="29" fillId="14" borderId="9" xfId="7" applyNumberFormat="1" applyFont="1" applyFill="1" applyBorder="1" applyAlignment="1">
      <alignment horizontal="center" vertical="center" wrapText="1"/>
    </xf>
    <xf numFmtId="175" fontId="29" fillId="14" borderId="1" xfId="7" applyNumberFormat="1" applyFont="1" applyFill="1" applyBorder="1" applyAlignment="1">
      <alignment horizontal="center" vertical="center" wrapText="1"/>
    </xf>
    <xf numFmtId="175" fontId="29" fillId="14" borderId="2" xfId="7" applyNumberFormat="1" applyFont="1" applyFill="1" applyBorder="1" applyAlignment="1">
      <alignment horizontal="center" vertical="center" wrapText="1"/>
    </xf>
    <xf numFmtId="175" fontId="29" fillId="14" borderId="3" xfId="7" applyNumberFormat="1" applyFont="1" applyFill="1" applyBorder="1" applyAlignment="1">
      <alignment horizontal="center" vertical="center" wrapText="1"/>
    </xf>
    <xf numFmtId="0" fontId="29" fillId="6" borderId="20" xfId="7" applyFont="1" applyFill="1" applyBorder="1" applyAlignment="1">
      <alignment horizontal="left" vertical="center"/>
    </xf>
    <xf numFmtId="0" fontId="31" fillId="6" borderId="13" xfId="7" applyFont="1" applyFill="1" applyBorder="1" applyAlignment="1">
      <alignment horizontal="left" vertical="center"/>
    </xf>
    <xf numFmtId="0" fontId="31" fillId="6" borderId="26" xfId="7" applyFont="1" applyFill="1" applyBorder="1" applyAlignment="1">
      <alignment horizontal="left" vertical="center"/>
    </xf>
    <xf numFmtId="175" fontId="31" fillId="14" borderId="10" xfId="7" applyNumberFormat="1" applyFont="1" applyFill="1" applyBorder="1" applyAlignment="1">
      <alignment horizontal="center" vertical="center" wrapText="1"/>
    </xf>
    <xf numFmtId="175" fontId="31" fillId="14" borderId="11" xfId="7" applyNumberFormat="1" applyFont="1" applyFill="1" applyBorder="1" applyAlignment="1">
      <alignment horizontal="center" vertical="center" wrapText="1"/>
    </xf>
    <xf numFmtId="175" fontId="31" fillId="14" borderId="12" xfId="7" applyNumberFormat="1" applyFont="1" applyFill="1" applyBorder="1" applyAlignment="1">
      <alignment horizontal="center" vertical="center" wrapText="1"/>
    </xf>
    <xf numFmtId="175" fontId="29" fillId="14" borderId="20" xfId="5" applyNumberFormat="1" applyFont="1" applyFill="1" applyBorder="1" applyAlignment="1">
      <alignment horizontal="center" vertical="center" wrapText="1"/>
    </xf>
    <xf numFmtId="175" fontId="29" fillId="27" borderId="20" xfId="5" applyNumberFormat="1" applyFont="1" applyFill="1" applyBorder="1" applyAlignment="1">
      <alignment horizontal="center" vertical="center" wrapText="1"/>
    </xf>
    <xf numFmtId="2" fontId="29" fillId="14" borderId="8" xfId="3" applyNumberFormat="1" applyFont="1" applyFill="1" applyBorder="1" applyAlignment="1" applyProtection="1">
      <alignment horizontal="center" vertical="center" wrapText="1"/>
    </xf>
    <xf numFmtId="44" fontId="29" fillId="14" borderId="109" xfId="3" applyFont="1" applyFill="1" applyBorder="1" applyAlignment="1" applyProtection="1">
      <alignment horizontal="center" vertical="center" wrapText="1"/>
    </xf>
    <xf numFmtId="0" fontId="33" fillId="6" borderId="48" xfId="7" applyFont="1" applyFill="1" applyBorder="1" applyAlignment="1">
      <alignment horizontal="right" vertical="center"/>
    </xf>
    <xf numFmtId="175" fontId="33" fillId="14" borderId="69" xfId="7" applyNumberFormat="1" applyFont="1" applyFill="1" applyBorder="1" applyAlignment="1">
      <alignment horizontal="center" vertical="center" wrapText="1"/>
    </xf>
    <xf numFmtId="0" fontId="21" fillId="14" borderId="8" xfId="5" applyFont="1" applyFill="1" applyBorder="1" applyAlignment="1">
      <alignment vertical="center"/>
    </xf>
    <xf numFmtId="0" fontId="31" fillId="0" borderId="0" xfId="7" applyFont="1" applyAlignment="1">
      <alignment horizontal="left" vertical="center"/>
    </xf>
    <xf numFmtId="0" fontId="16" fillId="10" borderId="8" xfId="1" applyFont="1" applyFill="1" applyBorder="1" applyAlignment="1">
      <alignment vertical="center"/>
    </xf>
    <xf numFmtId="0" fontId="16" fillId="10" borderId="8" xfId="1" applyFont="1" applyFill="1" applyBorder="1" applyAlignment="1">
      <alignment horizontal="center" vertical="center"/>
    </xf>
    <xf numFmtId="0" fontId="16" fillId="10" borderId="46" xfId="1" applyFont="1" applyFill="1" applyBorder="1" applyAlignment="1">
      <alignment vertical="center"/>
    </xf>
    <xf numFmtId="0" fontId="16" fillId="10" borderId="46" xfId="1" applyFont="1" applyFill="1" applyBorder="1" applyAlignment="1">
      <alignment horizontal="center" vertical="center"/>
    </xf>
    <xf numFmtId="164" fontId="16" fillId="10" borderId="46" xfId="1" applyNumberFormat="1" applyFont="1" applyFill="1" applyBorder="1" applyAlignment="1">
      <alignment vertical="center"/>
    </xf>
    <xf numFmtId="0" fontId="2" fillId="0" borderId="0" xfId="1"/>
    <xf numFmtId="0" fontId="16" fillId="14" borderId="8" xfId="1" applyFont="1" applyFill="1" applyBorder="1" applyAlignment="1">
      <alignment horizontal="center" vertical="center" wrapText="1"/>
    </xf>
    <xf numFmtId="164" fontId="8" fillId="14" borderId="37" xfId="1" applyNumberFormat="1" applyFont="1" applyFill="1" applyBorder="1" applyAlignment="1">
      <alignment horizontal="center" vertical="center" wrapText="1"/>
    </xf>
    <xf numFmtId="164" fontId="16" fillId="14" borderId="8" xfId="1" applyNumberFormat="1" applyFont="1" applyFill="1" applyBorder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0" fontId="16" fillId="14" borderId="8" xfId="1" applyFont="1" applyFill="1" applyBorder="1" applyAlignment="1">
      <alignment vertical="center"/>
    </xf>
    <xf numFmtId="0" fontId="16" fillId="14" borderId="8" xfId="1" applyFont="1" applyFill="1" applyBorder="1" applyAlignment="1">
      <alignment horizontal="center" vertical="center"/>
    </xf>
    <xf numFmtId="164" fontId="16" fillId="14" borderId="8" xfId="1" applyNumberFormat="1" applyFont="1" applyFill="1" applyBorder="1" applyAlignment="1">
      <alignment vertical="center"/>
    </xf>
    <xf numFmtId="164" fontId="16" fillId="14" borderId="18" xfId="1" applyNumberFormat="1" applyFont="1" applyFill="1" applyBorder="1" applyAlignment="1">
      <alignment horizontal="center" vertical="center"/>
    </xf>
    <xf numFmtId="0" fontId="2" fillId="0" borderId="0" xfId="1" applyAlignment="1">
      <alignment vertical="center"/>
    </xf>
    <xf numFmtId="164" fontId="1" fillId="11" borderId="8" xfId="1" applyNumberFormat="1" applyFont="1" applyFill="1" applyBorder="1" applyAlignment="1">
      <alignment vertical="center"/>
    </xf>
    <xf numFmtId="0" fontId="2" fillId="11" borderId="37" xfId="1" applyFill="1" applyBorder="1" applyAlignment="1">
      <alignment vertical="top" wrapText="1"/>
    </xf>
    <xf numFmtId="0" fontId="2" fillId="11" borderId="23" xfId="1" applyFill="1" applyBorder="1" applyAlignment="1">
      <alignment vertical="top" wrapText="1"/>
    </xf>
    <xf numFmtId="0" fontId="2" fillId="11" borderId="24" xfId="1" applyFill="1" applyBorder="1" applyAlignment="1">
      <alignment vertical="top" wrapText="1"/>
    </xf>
    <xf numFmtId="164" fontId="16" fillId="14" borderId="8" xfId="1" applyNumberFormat="1" applyFont="1" applyFill="1" applyBorder="1" applyAlignment="1">
      <alignment horizontal="center" vertical="center"/>
    </xf>
    <xf numFmtId="164" fontId="1" fillId="11" borderId="58" xfId="1" applyNumberFormat="1" applyFont="1" applyFill="1" applyBorder="1" applyAlignment="1">
      <alignment vertical="center"/>
    </xf>
    <xf numFmtId="0" fontId="2" fillId="11" borderId="0" xfId="1" applyFill="1" applyAlignment="1">
      <alignment vertical="center"/>
    </xf>
    <xf numFmtId="164" fontId="1" fillId="11" borderId="106" xfId="1" applyNumberFormat="1" applyFont="1" applyFill="1" applyBorder="1" applyAlignment="1">
      <alignment vertical="center"/>
    </xf>
    <xf numFmtId="0" fontId="2" fillId="11" borderId="0" xfId="1" applyFill="1" applyAlignment="1">
      <alignment vertical="top" wrapText="1"/>
    </xf>
    <xf numFmtId="164" fontId="2" fillId="14" borderId="24" xfId="1" applyNumberFormat="1" applyFill="1" applyBorder="1" applyAlignment="1">
      <alignment horizontal="center" vertical="center"/>
    </xf>
    <xf numFmtId="164" fontId="2" fillId="14" borderId="38" xfId="1" applyNumberFormat="1" applyFill="1" applyBorder="1" applyAlignment="1">
      <alignment horizontal="center" vertical="center"/>
    </xf>
    <xf numFmtId="164" fontId="34" fillId="14" borderId="8" xfId="1" applyNumberFormat="1" applyFont="1" applyFill="1" applyBorder="1" applyAlignment="1">
      <alignment horizontal="center" vertical="center"/>
    </xf>
    <xf numFmtId="4" fontId="34" fillId="14" borderId="11" xfId="1" applyNumberFormat="1" applyFont="1" applyFill="1" applyBorder="1" applyAlignment="1">
      <alignment horizontal="center" vertical="center"/>
    </xf>
    <xf numFmtId="44" fontId="34" fillId="14" borderId="11" xfId="3" applyFont="1" applyFill="1" applyBorder="1" applyAlignment="1" applyProtection="1">
      <alignment horizontal="center" vertical="center"/>
    </xf>
    <xf numFmtId="3" fontId="34" fillId="14" borderId="11" xfId="1" applyNumberFormat="1" applyFont="1" applyFill="1" applyBorder="1" applyAlignment="1">
      <alignment horizontal="center" vertical="center"/>
    </xf>
    <xf numFmtId="0" fontId="16" fillId="14" borderId="8" xfId="1" applyFont="1" applyFill="1" applyBorder="1"/>
    <xf numFmtId="0" fontId="16" fillId="14" borderId="9" xfId="1" applyFont="1" applyFill="1" applyBorder="1"/>
    <xf numFmtId="0" fontId="16" fillId="14" borderId="10" xfId="1" applyFont="1" applyFill="1" applyBorder="1"/>
    <xf numFmtId="0" fontId="16" fillId="14" borderId="11" xfId="1" applyFont="1" applyFill="1" applyBorder="1"/>
    <xf numFmtId="0" fontId="2" fillId="14" borderId="8" xfId="1" applyFill="1" applyBorder="1"/>
    <xf numFmtId="2" fontId="2" fillId="14" borderId="8" xfId="1" applyNumberFormat="1" applyFill="1" applyBorder="1"/>
    <xf numFmtId="0" fontId="21" fillId="2" borderId="0" xfId="5" applyFont="1" applyFill="1" applyAlignment="1">
      <alignment vertical="center"/>
    </xf>
    <xf numFmtId="0" fontId="53" fillId="14" borderId="111" xfId="0" applyFont="1" applyFill="1" applyBorder="1" applyAlignment="1">
      <alignment horizontal="left"/>
    </xf>
    <xf numFmtId="0" fontId="53" fillId="14" borderId="113" xfId="0" applyFont="1" applyFill="1" applyBorder="1" applyAlignment="1">
      <alignment horizontal="left"/>
    </xf>
    <xf numFmtId="0" fontId="21" fillId="0" borderId="50" xfId="0" applyFont="1" applyBorder="1" applyAlignment="1" applyProtection="1">
      <alignment vertical="center"/>
      <protection locked="0"/>
    </xf>
    <xf numFmtId="0" fontId="18" fillId="0" borderId="50" xfId="0" applyFon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18" fillId="0" borderId="19" xfId="0" applyFont="1" applyBorder="1" applyProtection="1">
      <protection locked="0"/>
    </xf>
    <xf numFmtId="0" fontId="18" fillId="8" borderId="68" xfId="0" applyFont="1" applyFill="1" applyBorder="1" applyProtection="1">
      <protection locked="0"/>
    </xf>
    <xf numFmtId="0" fontId="18" fillId="9" borderId="68" xfId="0" applyFont="1" applyFill="1" applyBorder="1" applyProtection="1">
      <protection locked="0"/>
    </xf>
    <xf numFmtId="0" fontId="18" fillId="0" borderId="75" xfId="0" applyFont="1" applyBorder="1" applyProtection="1">
      <protection locked="0"/>
    </xf>
    <xf numFmtId="0" fontId="18" fillId="0" borderId="51" xfId="0" applyFont="1" applyBorder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2" fillId="0" borderId="12" xfId="0" applyFont="1" applyBorder="1" applyAlignment="1" applyProtection="1">
      <alignment vertical="center" wrapText="1"/>
      <protection locked="0"/>
    </xf>
    <xf numFmtId="0" fontId="14" fillId="0" borderId="0" xfId="0" applyFont="1" applyProtection="1">
      <protection locked="0"/>
    </xf>
    <xf numFmtId="0" fontId="14" fillId="10" borderId="0" xfId="0" applyFont="1" applyFill="1" applyProtection="1">
      <protection locked="0"/>
    </xf>
    <xf numFmtId="0" fontId="0" fillId="0" borderId="0" xfId="0" applyProtection="1">
      <protection locked="0"/>
    </xf>
    <xf numFmtId="0" fontId="0" fillId="10" borderId="0" xfId="0" applyFill="1" applyProtection="1">
      <protection locked="0"/>
    </xf>
    <xf numFmtId="0" fontId="18" fillId="0" borderId="0" xfId="5" applyFont="1" applyAlignment="1" applyProtection="1">
      <alignment vertical="center"/>
      <protection locked="0"/>
    </xf>
    <xf numFmtId="166" fontId="18" fillId="0" borderId="0" xfId="7" applyNumberFormat="1" applyFont="1" applyAlignment="1" applyProtection="1">
      <alignment vertical="center"/>
      <protection locked="0"/>
    </xf>
    <xf numFmtId="170" fontId="18" fillId="0" borderId="0" xfId="8" applyFont="1" applyAlignment="1" applyProtection="1">
      <alignment vertical="center"/>
      <protection locked="0"/>
    </xf>
    <xf numFmtId="0" fontId="18" fillId="0" borderId="0" xfId="7" applyFont="1" applyAlignment="1" applyProtection="1">
      <alignment vertical="center"/>
      <protection locked="0"/>
    </xf>
    <xf numFmtId="14" fontId="18" fillId="0" borderId="0" xfId="5" applyNumberFormat="1" applyFont="1" applyAlignment="1" applyProtection="1">
      <alignment vertical="center"/>
      <protection locked="0"/>
    </xf>
    <xf numFmtId="169" fontId="18" fillId="0" borderId="0" xfId="5" applyNumberFormat="1" applyFont="1" applyAlignment="1" applyProtection="1">
      <alignment vertical="center"/>
      <protection locked="0"/>
    </xf>
    <xf numFmtId="0" fontId="21" fillId="15" borderId="8" xfId="7" applyFont="1" applyFill="1" applyBorder="1" applyAlignment="1" applyProtection="1">
      <alignment vertical="center"/>
      <protection locked="0"/>
    </xf>
    <xf numFmtId="0" fontId="18" fillId="9" borderId="8" xfId="0" applyFont="1" applyFill="1" applyBorder="1" applyAlignment="1" applyProtection="1">
      <alignment horizontal="center"/>
      <protection locked="0"/>
    </xf>
    <xf numFmtId="44" fontId="18" fillId="8" borderId="8" xfId="3" applyFont="1" applyFill="1" applyBorder="1" applyProtection="1">
      <protection locked="0"/>
    </xf>
    <xf numFmtId="9" fontId="18" fillId="9" borderId="8" xfId="4" applyFont="1" applyFill="1" applyBorder="1" applyAlignment="1" applyProtection="1">
      <alignment horizontal="center"/>
      <protection locked="0"/>
    </xf>
    <xf numFmtId="49" fontId="18" fillId="10" borderId="37" xfId="7" applyNumberFormat="1" applyFont="1" applyFill="1" applyBorder="1" applyAlignment="1" applyProtection="1">
      <alignment horizontal="left" vertical="center"/>
      <protection locked="0"/>
    </xf>
    <xf numFmtId="49" fontId="18" fillId="10" borderId="23" xfId="7" applyNumberFormat="1" applyFont="1" applyFill="1" applyBorder="1" applyAlignment="1" applyProtection="1">
      <alignment horizontal="left" vertical="center"/>
      <protection locked="0"/>
    </xf>
    <xf numFmtId="49" fontId="18" fillId="10" borderId="24" xfId="7" applyNumberFormat="1" applyFont="1" applyFill="1" applyBorder="1" applyAlignment="1" applyProtection="1">
      <alignment horizontal="left" vertical="center"/>
      <protection locked="0"/>
    </xf>
    <xf numFmtId="0" fontId="18" fillId="10" borderId="8" xfId="5" applyFont="1" applyFill="1" applyBorder="1" applyAlignment="1" applyProtection="1">
      <alignment vertical="center"/>
      <protection locked="0"/>
    </xf>
    <xf numFmtId="0" fontId="21" fillId="15" borderId="8" xfId="5" applyFont="1" applyFill="1" applyBorder="1" applyAlignment="1" applyProtection="1">
      <alignment vertical="center"/>
      <protection locked="0"/>
    </xf>
    <xf numFmtId="0" fontId="23" fillId="15" borderId="8" xfId="7" applyFont="1" applyFill="1" applyBorder="1" applyAlignment="1" applyProtection="1">
      <alignment horizontal="left" vertical="center"/>
      <protection locked="0"/>
    </xf>
    <xf numFmtId="0" fontId="21" fillId="15" borderId="8" xfId="7" applyFont="1" applyFill="1" applyBorder="1" applyAlignment="1" applyProtection="1">
      <alignment horizontal="left" vertical="center"/>
      <protection locked="0"/>
    </xf>
    <xf numFmtId="0" fontId="23" fillId="15" borderId="8" xfId="7" applyFont="1" applyFill="1" applyBorder="1" applyAlignment="1" applyProtection="1">
      <alignment horizontal="left" vertical="center" wrapText="1"/>
      <protection locked="0"/>
    </xf>
    <xf numFmtId="0" fontId="21" fillId="15" borderId="46" xfId="7" applyFont="1" applyFill="1" applyBorder="1" applyAlignment="1" applyProtection="1">
      <alignment horizontal="left" vertical="center"/>
      <protection locked="0"/>
    </xf>
    <xf numFmtId="0" fontId="18" fillId="9" borderId="46" xfId="0" applyFont="1" applyFill="1" applyBorder="1" applyAlignment="1" applyProtection="1">
      <alignment horizontal="center"/>
      <protection locked="0"/>
    </xf>
    <xf numFmtId="44" fontId="18" fillId="8" borderId="46" xfId="3" applyFont="1" applyFill="1" applyBorder="1" applyProtection="1">
      <protection locked="0"/>
    </xf>
    <xf numFmtId="9" fontId="18" fillId="9" borderId="46" xfId="4" applyFont="1" applyFill="1" applyBorder="1" applyAlignment="1" applyProtection="1">
      <alignment horizontal="center"/>
      <protection locked="0"/>
    </xf>
    <xf numFmtId="49" fontId="18" fillId="10" borderId="47" xfId="7" applyNumberFormat="1" applyFont="1" applyFill="1" applyBorder="1" applyAlignment="1" applyProtection="1">
      <alignment horizontal="left" vertical="center"/>
      <protection locked="0"/>
    </xf>
    <xf numFmtId="49" fontId="18" fillId="10" borderId="29" xfId="7" applyNumberFormat="1" applyFont="1" applyFill="1" applyBorder="1" applyAlignment="1" applyProtection="1">
      <alignment horizontal="left" vertical="center"/>
      <protection locked="0"/>
    </xf>
    <xf numFmtId="49" fontId="18" fillId="10" borderId="44" xfId="7" applyNumberFormat="1" applyFont="1" applyFill="1" applyBorder="1" applyAlignment="1" applyProtection="1">
      <alignment horizontal="left" vertical="center"/>
      <protection locked="0"/>
    </xf>
    <xf numFmtId="0" fontId="18" fillId="10" borderId="46" xfId="5" applyFont="1" applyFill="1" applyBorder="1" applyAlignment="1" applyProtection="1">
      <alignment vertical="center"/>
      <protection locked="0"/>
    </xf>
    <xf numFmtId="0" fontId="21" fillId="0" borderId="0" xfId="7" applyFont="1" applyAlignment="1" applyProtection="1">
      <alignment horizontal="left" vertical="center"/>
      <protection locked="0"/>
    </xf>
    <xf numFmtId="166" fontId="18" fillId="0" borderId="0" xfId="5" applyNumberFormat="1" applyFont="1" applyAlignment="1" applyProtection="1">
      <alignment vertical="center"/>
      <protection locked="0"/>
    </xf>
    <xf numFmtId="0" fontId="27" fillId="0" borderId="1" xfId="0" applyFont="1" applyBorder="1" applyAlignment="1" applyProtection="1">
      <alignment horizontal="center" vertical="center" wrapText="1"/>
      <protection locked="0"/>
    </xf>
    <xf numFmtId="0" fontId="27" fillId="0" borderId="3" xfId="0" applyFont="1" applyBorder="1" applyAlignment="1" applyProtection="1">
      <alignment horizontal="center" vertical="center" wrapText="1"/>
      <protection locked="0"/>
    </xf>
    <xf numFmtId="0" fontId="28" fillId="0" borderId="4" xfId="0" applyFont="1" applyBorder="1" applyAlignment="1" applyProtection="1">
      <alignment horizontal="left" vertical="center"/>
      <protection locked="0"/>
    </xf>
    <xf numFmtId="0" fontId="28" fillId="0" borderId="6" xfId="0" applyFont="1" applyBorder="1" applyAlignment="1" applyProtection="1">
      <alignment horizontal="right" vertical="center"/>
      <protection locked="0"/>
    </xf>
    <xf numFmtId="0" fontId="28" fillId="0" borderId="7" xfId="0" applyFont="1" applyBorder="1" applyAlignment="1" applyProtection="1">
      <alignment horizontal="left" vertical="center"/>
      <protection locked="0"/>
    </xf>
    <xf numFmtId="0" fontId="28" fillId="0" borderId="9" xfId="0" applyFont="1" applyBorder="1" applyAlignment="1" applyProtection="1">
      <alignment horizontal="right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28" fillId="0" borderId="12" xfId="0" applyFont="1" applyBorder="1" applyAlignment="1" applyProtection="1">
      <alignment horizontal="right" vertical="center"/>
      <protection locked="0"/>
    </xf>
    <xf numFmtId="0" fontId="30" fillId="0" borderId="0" xfId="5" applyFont="1" applyAlignment="1" applyProtection="1">
      <alignment vertical="center"/>
      <protection locked="0"/>
    </xf>
    <xf numFmtId="0" fontId="52" fillId="25" borderId="0" xfId="5" applyFont="1" applyFill="1" applyAlignment="1" applyProtection="1">
      <alignment vertical="center" wrapText="1"/>
      <protection locked="0"/>
    </xf>
    <xf numFmtId="9" fontId="29" fillId="15" borderId="45" xfId="4" applyFont="1" applyFill="1" applyBorder="1" applyAlignment="1" applyProtection="1">
      <alignment vertical="center"/>
      <protection locked="0"/>
    </xf>
    <xf numFmtId="0" fontId="52" fillId="25" borderId="0" xfId="5" applyFont="1" applyFill="1" applyAlignment="1" applyProtection="1">
      <alignment horizontal="center" vertical="center" wrapText="1"/>
      <protection locked="0"/>
    </xf>
    <xf numFmtId="0" fontId="18" fillId="0" borderId="0" xfId="5" applyFont="1" applyAlignment="1" applyProtection="1">
      <alignment horizontal="center" vertical="center"/>
      <protection locked="0"/>
    </xf>
    <xf numFmtId="0" fontId="21" fillId="0" borderId="34" xfId="5" applyFont="1" applyBorder="1" applyAlignment="1" applyProtection="1">
      <alignment horizontal="center" vertical="center"/>
      <protection locked="0"/>
    </xf>
    <xf numFmtId="9" fontId="21" fillId="15" borderId="45" xfId="5" applyNumberFormat="1" applyFont="1" applyFill="1" applyBorder="1" applyAlignment="1" applyProtection="1">
      <alignment horizontal="center" vertical="center"/>
      <protection locked="0"/>
    </xf>
    <xf numFmtId="166" fontId="29" fillId="0" borderId="35" xfId="5" applyNumberFormat="1" applyFont="1" applyBorder="1" applyAlignment="1" applyProtection="1">
      <alignment horizontal="center" vertical="center"/>
      <protection locked="0"/>
    </xf>
    <xf numFmtId="0" fontId="30" fillId="0" borderId="0" xfId="5" applyFont="1" applyAlignment="1" applyProtection="1">
      <alignment vertical="center" wrapText="1"/>
      <protection locked="0"/>
    </xf>
    <xf numFmtId="0" fontId="29" fillId="0" borderId="0" xfId="5" applyFont="1" applyAlignment="1" applyProtection="1">
      <alignment horizontal="left" vertical="center"/>
      <protection locked="0"/>
    </xf>
    <xf numFmtId="166" fontId="29" fillId="0" borderId="0" xfId="5" applyNumberFormat="1" applyFont="1" applyAlignment="1" applyProtection="1">
      <alignment horizontal="center" vertical="center"/>
      <protection locked="0"/>
    </xf>
    <xf numFmtId="0" fontId="29" fillId="0" borderId="0" xfId="5" applyFont="1" applyAlignment="1" applyProtection="1">
      <alignment horizontal="center" vertical="center"/>
      <protection locked="0"/>
    </xf>
    <xf numFmtId="0" fontId="30" fillId="0" borderId="52" xfId="5" applyFont="1" applyBorder="1" applyAlignment="1" applyProtection="1">
      <alignment vertical="center"/>
      <protection locked="0"/>
    </xf>
    <xf numFmtId="0" fontId="29" fillId="12" borderId="35" xfId="5" applyFont="1" applyFill="1" applyBorder="1" applyAlignment="1" applyProtection="1">
      <alignment horizontal="center" vertical="center"/>
      <protection locked="0"/>
    </xf>
    <xf numFmtId="166" fontId="29" fillId="12" borderId="1" xfId="5" applyNumberFormat="1" applyFont="1" applyFill="1" applyBorder="1" applyAlignment="1" applyProtection="1">
      <alignment horizontal="center" vertical="center" wrapText="1"/>
      <protection locked="0"/>
    </xf>
    <xf numFmtId="0" fontId="29" fillId="12" borderId="2" xfId="5" applyFont="1" applyFill="1" applyBorder="1" applyAlignment="1" applyProtection="1">
      <alignment horizontal="center" vertical="center" wrapText="1"/>
      <protection locked="0"/>
    </xf>
    <xf numFmtId="166" fontId="29" fillId="10" borderId="2" xfId="5" applyNumberFormat="1" applyFont="1" applyFill="1" applyBorder="1" applyAlignment="1" applyProtection="1">
      <alignment horizontal="center" vertical="center" wrapText="1"/>
      <protection locked="0"/>
    </xf>
    <xf numFmtId="0" fontId="31" fillId="13" borderId="40" xfId="5" applyFont="1" applyFill="1" applyBorder="1" applyAlignment="1" applyProtection="1">
      <alignment horizontal="left" vertical="center" wrapText="1"/>
      <protection locked="0"/>
    </xf>
    <xf numFmtId="0" fontId="18" fillId="10" borderId="8" xfId="0" applyFont="1" applyFill="1" applyBorder="1" applyProtection="1">
      <protection locked="0"/>
    </xf>
    <xf numFmtId="0" fontId="31" fillId="13" borderId="7" xfId="5" quotePrefix="1" applyFont="1" applyFill="1" applyBorder="1" applyAlignment="1" applyProtection="1">
      <alignment horizontal="right" vertical="center" wrapText="1"/>
      <protection locked="0"/>
    </xf>
    <xf numFmtId="166" fontId="31" fillId="10" borderId="7" xfId="5" applyNumberFormat="1" applyFont="1" applyFill="1" applyBorder="1" applyAlignment="1" applyProtection="1">
      <alignment horizontal="center" vertical="center" wrapText="1"/>
      <protection locked="0"/>
    </xf>
    <xf numFmtId="166" fontId="31" fillId="15" borderId="7" xfId="5" applyNumberFormat="1" applyFont="1" applyFill="1" applyBorder="1" applyAlignment="1" applyProtection="1">
      <alignment horizontal="center" vertical="center" wrapText="1"/>
      <protection locked="0"/>
    </xf>
    <xf numFmtId="0" fontId="31" fillId="13" borderId="7" xfId="5" applyFont="1" applyFill="1" applyBorder="1" applyAlignment="1" applyProtection="1">
      <alignment horizontal="left" vertical="center" wrapText="1"/>
      <protection locked="0"/>
    </xf>
    <xf numFmtId="0" fontId="31" fillId="13" borderId="7" xfId="5" applyFont="1" applyFill="1" applyBorder="1" applyAlignment="1" applyProtection="1">
      <alignment horizontal="right" vertical="center" wrapText="1"/>
      <protection locked="0"/>
    </xf>
    <xf numFmtId="0" fontId="30" fillId="12" borderId="7" xfId="5" applyFont="1" applyFill="1" applyBorder="1" applyAlignment="1" applyProtection="1">
      <alignment horizontal="left" vertical="center" wrapText="1"/>
      <protection locked="0"/>
    </xf>
    <xf numFmtId="0" fontId="31" fillId="13" borderId="22" xfId="5" applyFont="1" applyFill="1" applyBorder="1" applyAlignment="1" applyProtection="1">
      <alignment horizontal="right" vertical="center" wrapText="1"/>
      <protection locked="0"/>
    </xf>
    <xf numFmtId="0" fontId="31" fillId="12" borderId="7" xfId="5" applyFont="1" applyFill="1" applyBorder="1" applyAlignment="1" applyProtection="1">
      <alignment horizontal="right" vertical="center" wrapText="1"/>
      <protection locked="0"/>
    </xf>
    <xf numFmtId="0" fontId="31" fillId="12" borderId="26" xfId="5" applyFont="1" applyFill="1" applyBorder="1" applyAlignment="1" applyProtection="1">
      <alignment horizontal="right" vertical="center" wrapText="1"/>
      <protection locked="0"/>
    </xf>
    <xf numFmtId="0" fontId="30" fillId="12" borderId="22" xfId="5" applyFont="1" applyFill="1" applyBorder="1" applyAlignment="1" applyProtection="1">
      <alignment horizontal="left" vertical="center" wrapText="1"/>
      <protection locked="0"/>
    </xf>
    <xf numFmtId="0" fontId="31" fillId="10" borderId="5" xfId="5" applyFont="1" applyFill="1" applyBorder="1" applyAlignment="1" applyProtection="1">
      <alignment horizontal="center" vertical="center"/>
      <protection locked="0"/>
    </xf>
    <xf numFmtId="0" fontId="18" fillId="10" borderId="0" xfId="5" applyFont="1" applyFill="1" applyAlignment="1" applyProtection="1">
      <alignment vertical="center"/>
      <protection locked="0"/>
    </xf>
    <xf numFmtId="166" fontId="31" fillId="10" borderId="4" xfId="5" applyNumberFormat="1" applyFont="1" applyFill="1" applyBorder="1" applyAlignment="1" applyProtection="1">
      <alignment horizontal="center" vertical="center" wrapText="1"/>
      <protection locked="0"/>
    </xf>
    <xf numFmtId="0" fontId="30" fillId="12" borderId="26" xfId="5" applyFont="1" applyFill="1" applyBorder="1" applyAlignment="1" applyProtection="1">
      <alignment horizontal="left" vertical="center" wrapText="1"/>
      <protection locked="0"/>
    </xf>
    <xf numFmtId="0" fontId="30" fillId="12" borderId="0" xfId="5" applyFont="1" applyFill="1" applyAlignment="1" applyProtection="1">
      <alignment horizontal="left" vertical="center" wrapText="1"/>
      <protection locked="0"/>
    </xf>
    <xf numFmtId="0" fontId="31" fillId="12" borderId="0" xfId="5" applyFont="1" applyFill="1" applyAlignment="1" applyProtection="1">
      <alignment horizontal="right" vertical="center" wrapText="1"/>
      <protection locked="0"/>
    </xf>
    <xf numFmtId="0" fontId="31" fillId="0" borderId="0" xfId="5" applyFont="1" applyAlignment="1" applyProtection="1">
      <alignment vertical="center"/>
      <protection locked="0"/>
    </xf>
    <xf numFmtId="166" fontId="31" fillId="0" borderId="0" xfId="5" applyNumberFormat="1" applyFont="1" applyAlignment="1" applyProtection="1">
      <alignment horizontal="center" vertical="center"/>
      <protection locked="0"/>
    </xf>
    <xf numFmtId="0" fontId="29" fillId="0" borderId="0" xfId="5" applyFont="1" applyAlignment="1" applyProtection="1">
      <alignment horizontal="left" vertical="center" wrapText="1"/>
      <protection locked="0"/>
    </xf>
    <xf numFmtId="166" fontId="29" fillId="0" borderId="0" xfId="5" applyNumberFormat="1" applyFont="1" applyAlignment="1" applyProtection="1">
      <alignment horizontal="center" vertical="center" wrapText="1"/>
      <protection locked="0"/>
    </xf>
    <xf numFmtId="0" fontId="29" fillId="0" borderId="0" xfId="5" applyFont="1" applyAlignment="1" applyProtection="1">
      <alignment horizontal="center" vertical="center" wrapText="1"/>
      <protection locked="0"/>
    </xf>
    <xf numFmtId="0" fontId="47" fillId="0" borderId="0" xfId="0" applyFont="1" applyProtection="1">
      <protection locked="0"/>
    </xf>
    <xf numFmtId="0" fontId="47" fillId="0" borderId="8" xfId="0" applyFont="1" applyBorder="1" applyAlignment="1" applyProtection="1">
      <alignment horizontal="left"/>
      <protection locked="0"/>
    </xf>
    <xf numFmtId="0" fontId="47" fillId="25" borderId="0" xfId="0" applyFont="1" applyFill="1" applyProtection="1">
      <protection locked="0"/>
    </xf>
    <xf numFmtId="0" fontId="47" fillId="25" borderId="0" xfId="0" applyFont="1" applyFill="1" applyAlignment="1" applyProtection="1">
      <alignment horizontal="left"/>
      <protection locked="0"/>
    </xf>
    <xf numFmtId="44" fontId="47" fillId="25" borderId="0" xfId="3" applyFont="1" applyFill="1" applyBorder="1" applyAlignment="1" applyProtection="1">
      <alignment horizontal="left" wrapText="1"/>
      <protection locked="0"/>
    </xf>
    <xf numFmtId="0" fontId="47" fillId="0" borderId="24" xfId="0" applyFont="1" applyBorder="1" applyProtection="1">
      <protection locked="0"/>
    </xf>
    <xf numFmtId="0" fontId="47" fillId="10" borderId="8" xfId="0" applyFont="1" applyFill="1" applyBorder="1" applyProtection="1">
      <protection locked="0"/>
    </xf>
    <xf numFmtId="0" fontId="47" fillId="10" borderId="9" xfId="0" applyFont="1" applyFill="1" applyBorder="1" applyProtection="1">
      <protection locked="0"/>
    </xf>
    <xf numFmtId="0" fontId="47" fillId="25" borderId="8" xfId="0" applyFont="1" applyFill="1" applyBorder="1" applyProtection="1">
      <protection locked="0"/>
    </xf>
    <xf numFmtId="0" fontId="47" fillId="15" borderId="8" xfId="0" applyFont="1" applyFill="1" applyBorder="1" applyProtection="1">
      <protection locked="0"/>
    </xf>
    <xf numFmtId="0" fontId="47" fillId="15" borderId="9" xfId="0" applyFont="1" applyFill="1" applyBorder="1" applyProtection="1">
      <protection locked="0"/>
    </xf>
    <xf numFmtId="9" fontId="48" fillId="0" borderId="8" xfId="4" applyFont="1" applyFill="1" applyBorder="1" applyProtection="1">
      <protection locked="0"/>
    </xf>
    <xf numFmtId="0" fontId="47" fillId="0" borderId="44" xfId="0" applyFont="1" applyBorder="1" applyProtection="1">
      <protection locked="0"/>
    </xf>
    <xf numFmtId="0" fontId="48" fillId="0" borderId="8" xfId="0" applyFont="1" applyBorder="1" applyProtection="1">
      <protection locked="0"/>
    </xf>
    <xf numFmtId="0" fontId="47" fillId="0" borderId="8" xfId="0" applyFont="1" applyBorder="1" applyProtection="1">
      <protection locked="0"/>
    </xf>
    <xf numFmtId="0" fontId="47" fillId="0" borderId="0" xfId="0" applyFont="1" applyAlignment="1" applyProtection="1">
      <alignment horizontal="left"/>
      <protection locked="0"/>
    </xf>
    <xf numFmtId="9" fontId="47" fillId="0" borderId="0" xfId="4" applyFont="1" applyFill="1" applyProtection="1">
      <protection locked="0"/>
    </xf>
    <xf numFmtId="10" fontId="48" fillId="0" borderId="8" xfId="4" applyNumberFormat="1" applyFont="1" applyFill="1" applyBorder="1" applyProtection="1">
      <protection locked="0"/>
    </xf>
    <xf numFmtId="9" fontId="47" fillId="0" borderId="8" xfId="4" applyFont="1" applyFill="1" applyBorder="1" applyProtection="1">
      <protection locked="0"/>
    </xf>
    <xf numFmtId="9" fontId="47" fillId="0" borderId="0" xfId="4" applyFont="1" applyFill="1" applyBorder="1" applyProtection="1">
      <protection locked="0"/>
    </xf>
    <xf numFmtId="0" fontId="48" fillId="0" borderId="0" xfId="0" applyFont="1" applyProtection="1">
      <protection locked="0"/>
    </xf>
    <xf numFmtId="10" fontId="48" fillId="0" borderId="0" xfId="4" applyNumberFormat="1" applyFont="1" applyFill="1" applyProtection="1">
      <protection locked="0"/>
    </xf>
    <xf numFmtId="0" fontId="50" fillId="0" borderId="0" xfId="0" applyFont="1" applyProtection="1">
      <protection locked="0"/>
    </xf>
    <xf numFmtId="179" fontId="0" fillId="0" borderId="0" xfId="3" applyNumberFormat="1" applyFont="1" applyProtection="1">
      <protection locked="0"/>
    </xf>
    <xf numFmtId="10" fontId="0" fillId="0" borderId="0" xfId="0" applyNumberFormat="1" applyProtection="1">
      <protection locked="0"/>
    </xf>
    <xf numFmtId="173" fontId="0" fillId="0" borderId="0" xfId="0" applyNumberFormat="1" applyProtection="1">
      <protection locked="0"/>
    </xf>
    <xf numFmtId="180" fontId="0" fillId="0" borderId="0" xfId="0" applyNumberFormat="1" applyProtection="1">
      <protection locked="0"/>
    </xf>
    <xf numFmtId="44" fontId="0" fillId="0" borderId="0" xfId="3" applyFont="1" applyProtection="1">
      <protection locked="0"/>
    </xf>
    <xf numFmtId="10" fontId="0" fillId="0" borderId="0" xfId="4" applyNumberFormat="1" applyFont="1" applyProtection="1">
      <protection locked="0"/>
    </xf>
    <xf numFmtId="2" fontId="0" fillId="0" borderId="0" xfId="0" applyNumberFormat="1" applyProtection="1">
      <protection locked="0"/>
    </xf>
    <xf numFmtId="0" fontId="47" fillId="0" borderId="0" xfId="0" applyFont="1" applyAlignment="1" applyProtection="1">
      <alignment wrapText="1"/>
      <protection locked="0"/>
    </xf>
    <xf numFmtId="0" fontId="47" fillId="0" borderId="0" xfId="0" applyFont="1" applyAlignment="1" applyProtection="1">
      <alignment horizontal="left" wrapText="1"/>
      <protection locked="0"/>
    </xf>
    <xf numFmtId="1" fontId="47" fillId="0" borderId="0" xfId="0" applyNumberFormat="1" applyFont="1" applyAlignment="1" applyProtection="1">
      <alignment horizontal="left" wrapText="1"/>
      <protection locked="0"/>
    </xf>
    <xf numFmtId="0" fontId="54" fillId="22" borderId="0" xfId="0" applyFont="1" applyFill="1" applyAlignment="1" applyProtection="1">
      <alignment horizontal="center" wrapText="1"/>
      <protection locked="0"/>
    </xf>
    <xf numFmtId="0" fontId="13" fillId="3" borderId="33" xfId="0" applyFont="1" applyFill="1" applyBorder="1" applyAlignment="1" applyProtection="1">
      <alignment horizontal="center" vertical="center"/>
      <protection locked="0"/>
    </xf>
    <xf numFmtId="0" fontId="12" fillId="23" borderId="8" xfId="0" applyFont="1" applyFill="1" applyBorder="1" applyAlignment="1" applyProtection="1">
      <alignment horizontal="center" vertical="center" wrapText="1"/>
      <protection locked="0"/>
    </xf>
    <xf numFmtId="0" fontId="13" fillId="23" borderId="8" xfId="0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Alignment="1" applyProtection="1">
      <alignment horizontal="center" vertical="center"/>
      <protection locked="0"/>
    </xf>
    <xf numFmtId="0" fontId="57" fillId="0" borderId="0" xfId="0" applyFont="1" applyProtection="1">
      <protection locked="0"/>
    </xf>
    <xf numFmtId="0" fontId="54" fillId="0" borderId="111" xfId="0" applyFont="1" applyBorder="1" applyAlignment="1" applyProtection="1">
      <alignment horizontal="center" wrapText="1"/>
      <protection locked="0"/>
    </xf>
    <xf numFmtId="0" fontId="54" fillId="22" borderId="110" xfId="0" applyFont="1" applyFill="1" applyBorder="1" applyAlignment="1" applyProtection="1">
      <alignment horizontal="center" wrapText="1"/>
      <protection locked="0"/>
    </xf>
    <xf numFmtId="0" fontId="54" fillId="22" borderId="112" xfId="0" applyFont="1" applyFill="1" applyBorder="1" applyAlignment="1" applyProtection="1">
      <alignment horizontal="center" wrapText="1"/>
      <protection locked="0"/>
    </xf>
    <xf numFmtId="0" fontId="13" fillId="3" borderId="8" xfId="0" applyFont="1" applyFill="1" applyBorder="1" applyAlignment="1" applyProtection="1">
      <alignment horizontal="center" vertical="center"/>
      <protection locked="0"/>
    </xf>
    <xf numFmtId="182" fontId="55" fillId="10" borderId="112" xfId="0" applyNumberFormat="1" applyFont="1" applyFill="1" applyBorder="1" applyAlignment="1" applyProtection="1">
      <alignment horizontal="center" vertical="center" wrapText="1"/>
      <protection locked="0"/>
    </xf>
    <xf numFmtId="0" fontId="54" fillId="22" borderId="112" xfId="0" applyFont="1" applyFill="1" applyBorder="1" applyAlignment="1" applyProtection="1">
      <alignment horizontal="center"/>
      <protection locked="0"/>
    </xf>
    <xf numFmtId="182" fontId="55" fillId="10" borderId="114" xfId="0" applyNumberFormat="1" applyFont="1" applyFill="1" applyBorder="1" applyAlignment="1" applyProtection="1">
      <alignment horizontal="center" vertical="center" wrapText="1"/>
      <protection locked="0"/>
    </xf>
    <xf numFmtId="0" fontId="56" fillId="0" borderId="8" xfId="0" applyFont="1" applyBorder="1" applyAlignment="1" applyProtection="1">
      <alignment vertical="center" wrapText="1"/>
      <protection locked="0"/>
    </xf>
    <xf numFmtId="0" fontId="0" fillId="15" borderId="0" xfId="0" applyFill="1" applyProtection="1">
      <protection locked="0"/>
    </xf>
    <xf numFmtId="44" fontId="0" fillId="10" borderId="8" xfId="3" applyFont="1" applyFill="1" applyBorder="1" applyProtection="1">
      <protection locked="0"/>
    </xf>
    <xf numFmtId="0" fontId="0" fillId="10" borderId="38" xfId="0" applyFill="1" applyBorder="1" applyProtection="1">
      <protection locked="0"/>
    </xf>
    <xf numFmtId="0" fontId="0" fillId="10" borderId="8" xfId="0" applyFill="1" applyBorder="1" applyProtection="1">
      <protection locked="0"/>
    </xf>
    <xf numFmtId="0" fontId="0" fillId="0" borderId="35" xfId="0" applyBorder="1" applyProtection="1">
      <protection locked="0"/>
    </xf>
    <xf numFmtId="0" fontId="32" fillId="0" borderId="0" xfId="5" applyFont="1" applyAlignment="1" applyProtection="1">
      <alignment vertical="center"/>
      <protection locked="0"/>
    </xf>
    <xf numFmtId="174" fontId="18" fillId="0" borderId="0" xfId="5" applyNumberFormat="1" applyFont="1" applyAlignment="1" applyProtection="1">
      <alignment vertical="center"/>
      <protection locked="0"/>
    </xf>
    <xf numFmtId="0" fontId="32" fillId="0" borderId="0" xfId="7" applyFont="1" applyAlignment="1" applyProtection="1">
      <alignment vertical="center"/>
      <protection locked="0"/>
    </xf>
    <xf numFmtId="0" fontId="31" fillId="13" borderId="40" xfId="5" applyFont="1" applyFill="1" applyBorder="1" applyAlignment="1" applyProtection="1">
      <alignment horizontal="right" vertical="center" wrapText="1"/>
      <protection locked="0"/>
    </xf>
    <xf numFmtId="0" fontId="37" fillId="0" borderId="34" xfId="7" applyFont="1" applyBorder="1" applyAlignment="1" applyProtection="1">
      <alignment vertical="center"/>
      <protection locked="0"/>
    </xf>
    <xf numFmtId="0" fontId="31" fillId="0" borderId="13" xfId="7" applyFont="1" applyBorder="1" applyAlignment="1" applyProtection="1">
      <alignment horizontal="right" vertical="center"/>
      <protection locked="0"/>
    </xf>
    <xf numFmtId="0" fontId="29" fillId="13" borderId="1" xfId="5" applyFont="1" applyFill="1" applyBorder="1" applyAlignment="1" applyProtection="1">
      <alignment horizontal="left" vertical="center" wrapText="1"/>
      <protection locked="0"/>
    </xf>
    <xf numFmtId="0" fontId="31" fillId="10" borderId="13" xfId="7" applyFont="1" applyFill="1" applyBorder="1" applyAlignment="1" applyProtection="1">
      <alignment horizontal="right" vertical="center"/>
      <protection locked="0"/>
    </xf>
    <xf numFmtId="175" fontId="31" fillId="10" borderId="4" xfId="7" applyNumberFormat="1" applyFont="1" applyFill="1" applyBorder="1" applyAlignment="1" applyProtection="1">
      <alignment horizontal="center" vertical="center" wrapText="1"/>
      <protection locked="0"/>
    </xf>
    <xf numFmtId="175" fontId="31" fillId="10" borderId="5" xfId="7" applyNumberFormat="1" applyFont="1" applyFill="1" applyBorder="1" applyAlignment="1" applyProtection="1">
      <alignment horizontal="center" vertical="center" wrapText="1"/>
      <protection locked="0"/>
    </xf>
    <xf numFmtId="175" fontId="31" fillId="10" borderId="6" xfId="7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7" applyFont="1" applyAlignment="1" applyProtection="1">
      <alignment vertical="center"/>
      <protection locked="0"/>
    </xf>
    <xf numFmtId="175" fontId="29" fillId="0" borderId="0" xfId="7" applyNumberFormat="1" applyFont="1" applyAlignment="1" applyProtection="1">
      <alignment horizontal="center" vertical="center" wrapText="1"/>
      <protection locked="0"/>
    </xf>
    <xf numFmtId="0" fontId="29" fillId="13" borderId="34" xfId="5" applyFont="1" applyFill="1" applyBorder="1" applyAlignment="1" applyProtection="1">
      <alignment horizontal="left" vertical="center" wrapText="1"/>
      <protection locked="0"/>
    </xf>
    <xf numFmtId="0" fontId="31" fillId="12" borderId="68" xfId="5" applyFont="1" applyFill="1" applyBorder="1" applyAlignment="1" applyProtection="1">
      <alignment horizontal="right" vertical="center" wrapText="1"/>
      <protection locked="0"/>
    </xf>
    <xf numFmtId="0" fontId="31" fillId="0" borderId="28" xfId="7" applyFont="1" applyBorder="1" applyAlignment="1" applyProtection="1">
      <alignment horizontal="right" vertical="center"/>
      <protection locked="0"/>
    </xf>
    <xf numFmtId="175" fontId="29" fillId="15" borderId="43" xfId="7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7" applyFont="1" applyAlignment="1" applyProtection="1">
      <alignment horizontal="left" vertical="center"/>
      <protection locked="0"/>
    </xf>
    <xf numFmtId="0" fontId="29" fillId="0" borderId="22" xfId="7" applyFont="1" applyBorder="1" applyAlignment="1" applyProtection="1">
      <alignment horizontal="left" vertical="center"/>
      <protection locked="0"/>
    </xf>
    <xf numFmtId="0" fontId="31" fillId="0" borderId="22" xfId="7" applyFont="1" applyBorder="1" applyAlignment="1" applyProtection="1">
      <alignment horizontal="right" vertical="center"/>
      <protection locked="0"/>
    </xf>
    <xf numFmtId="175" fontId="31" fillId="10" borderId="7" xfId="7" applyNumberFormat="1" applyFont="1" applyFill="1" applyBorder="1" applyAlignment="1" applyProtection="1">
      <alignment horizontal="center" vertical="center" wrapText="1"/>
      <protection locked="0"/>
    </xf>
    <xf numFmtId="175" fontId="31" fillId="10" borderId="8" xfId="7" applyNumberFormat="1" applyFont="1" applyFill="1" applyBorder="1" applyAlignment="1" applyProtection="1">
      <alignment horizontal="center" vertical="center" wrapText="1"/>
      <protection locked="0"/>
    </xf>
    <xf numFmtId="175" fontId="31" fillId="10" borderId="9" xfId="7" applyNumberFormat="1" applyFont="1" applyFill="1" applyBorder="1" applyAlignment="1" applyProtection="1">
      <alignment horizontal="center" vertical="center" wrapText="1"/>
      <protection locked="0"/>
    </xf>
    <xf numFmtId="175" fontId="31" fillId="10" borderId="43" xfId="7" applyNumberFormat="1" applyFont="1" applyFill="1" applyBorder="1" applyAlignment="1" applyProtection="1">
      <alignment horizontal="center" vertical="center" wrapText="1"/>
      <protection locked="0"/>
    </xf>
    <xf numFmtId="175" fontId="31" fillId="10" borderId="46" xfId="7" applyNumberFormat="1" applyFont="1" applyFill="1" applyBorder="1" applyAlignment="1" applyProtection="1">
      <alignment horizontal="center" vertical="center" wrapText="1"/>
      <protection locked="0"/>
    </xf>
    <xf numFmtId="175" fontId="31" fillId="10" borderId="30" xfId="7" applyNumberFormat="1" applyFont="1" applyFill="1" applyBorder="1" applyAlignment="1" applyProtection="1">
      <alignment horizontal="center" vertical="center" wrapText="1"/>
      <protection locked="0"/>
    </xf>
    <xf numFmtId="0" fontId="29" fillId="0" borderId="13" xfId="7" applyFont="1" applyBorder="1" applyAlignment="1" applyProtection="1">
      <alignment horizontal="right" vertical="center"/>
      <protection locked="0"/>
    </xf>
    <xf numFmtId="175" fontId="29" fillId="10" borderId="20" xfId="5" applyNumberFormat="1" applyFont="1" applyFill="1" applyBorder="1" applyAlignment="1" applyProtection="1">
      <alignment horizontal="center" vertical="center" wrapText="1"/>
      <protection locked="0"/>
    </xf>
    <xf numFmtId="0" fontId="29" fillId="0" borderId="17" xfId="7" applyFont="1" applyBorder="1" applyAlignment="1" applyProtection="1">
      <alignment horizontal="right" vertical="center"/>
      <protection locked="0"/>
    </xf>
    <xf numFmtId="2" fontId="29" fillId="15" borderId="109" xfId="3" applyNumberFormat="1" applyFont="1" applyFill="1" applyBorder="1" applyAlignment="1" applyProtection="1">
      <alignment horizontal="center" vertical="center" wrapText="1"/>
      <protection locked="0"/>
    </xf>
    <xf numFmtId="2" fontId="29" fillId="15" borderId="17" xfId="3" applyNumberFormat="1" applyFont="1" applyFill="1" applyBorder="1" applyAlignment="1" applyProtection="1">
      <alignment horizontal="center" vertical="center" wrapText="1"/>
      <protection locked="0"/>
    </xf>
    <xf numFmtId="2" fontId="29" fillId="15" borderId="116" xfId="3" applyNumberFormat="1" applyFont="1" applyFill="1" applyBorder="1" applyAlignment="1" applyProtection="1">
      <alignment horizontal="center" vertical="center" wrapText="1"/>
      <protection locked="0"/>
    </xf>
    <xf numFmtId="175" fontId="31" fillId="0" borderId="0" xfId="7" applyNumberFormat="1" applyFont="1" applyAlignment="1" applyProtection="1">
      <alignment horizontal="center" vertical="center" wrapText="1"/>
      <protection locked="0"/>
    </xf>
    <xf numFmtId="0" fontId="45" fillId="25" borderId="17" xfId="7" applyFont="1" applyFill="1" applyBorder="1" applyAlignment="1" applyProtection="1">
      <alignment horizontal="center" vertical="center"/>
      <protection locked="0"/>
    </xf>
    <xf numFmtId="0" fontId="45" fillId="25" borderId="0" xfId="7" applyFont="1" applyFill="1" applyAlignment="1" applyProtection="1">
      <alignment horizontal="center" vertical="center"/>
      <protection locked="0"/>
    </xf>
    <xf numFmtId="0" fontId="29" fillId="0" borderId="8" xfId="7" applyFont="1" applyBorder="1" applyAlignment="1" applyProtection="1">
      <alignment horizontal="right" vertical="center"/>
      <protection locked="0"/>
    </xf>
    <xf numFmtId="0" fontId="18" fillId="0" borderId="8" xfId="5" applyFont="1" applyBorder="1" applyAlignment="1" applyProtection="1">
      <alignment vertical="center"/>
      <protection locked="0"/>
    </xf>
    <xf numFmtId="0" fontId="0" fillId="0" borderId="20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31" xfId="0" applyBorder="1" applyProtection="1">
      <protection locked="0"/>
    </xf>
    <xf numFmtId="0" fontId="0" fillId="0" borderId="48" xfId="0" applyBorder="1" applyProtection="1">
      <protection locked="0"/>
    </xf>
    <xf numFmtId="0" fontId="0" fillId="0" borderId="32" xfId="0" applyBorder="1" applyProtection="1">
      <protection locked="0"/>
    </xf>
    <xf numFmtId="0" fontId="0" fillId="0" borderId="49" xfId="0" applyBorder="1" applyProtection="1">
      <protection locked="0"/>
    </xf>
    <xf numFmtId="0" fontId="0" fillId="0" borderId="17" xfId="0" applyBorder="1" applyProtection="1">
      <protection locked="0"/>
    </xf>
    <xf numFmtId="0" fontId="7" fillId="0" borderId="57" xfId="1" applyFont="1" applyBorder="1" applyAlignment="1" applyProtection="1">
      <alignment vertical="center"/>
      <protection locked="0"/>
    </xf>
    <xf numFmtId="0" fontId="7" fillId="0" borderId="56" xfId="1" applyFont="1" applyBorder="1" applyAlignment="1" applyProtection="1">
      <alignment vertical="center"/>
      <protection locked="0"/>
    </xf>
    <xf numFmtId="0" fontId="7" fillId="0" borderId="38" xfId="1" applyFont="1" applyBorder="1" applyAlignment="1" applyProtection="1">
      <alignment vertical="center"/>
      <protection locked="0"/>
    </xf>
    <xf numFmtId="0" fontId="7" fillId="0" borderId="41" xfId="1" applyFont="1" applyBorder="1" applyAlignment="1" applyProtection="1">
      <alignment vertical="center" wrapText="1"/>
      <protection locked="0"/>
    </xf>
    <xf numFmtId="0" fontId="16" fillId="10" borderId="8" xfId="1" applyFont="1" applyFill="1" applyBorder="1" applyAlignment="1" applyProtection="1">
      <alignment vertical="center"/>
      <protection locked="0"/>
    </xf>
    <xf numFmtId="0" fontId="16" fillId="15" borderId="8" xfId="1" applyFont="1" applyFill="1" applyBorder="1" applyAlignment="1" applyProtection="1">
      <alignment horizontal="center" vertical="center"/>
      <protection locked="0"/>
    </xf>
    <xf numFmtId="0" fontId="16" fillId="15" borderId="8" xfId="1" applyFont="1" applyFill="1" applyBorder="1" applyAlignment="1" applyProtection="1">
      <alignment vertical="center"/>
      <protection locked="0"/>
    </xf>
    <xf numFmtId="0" fontId="16" fillId="10" borderId="8" xfId="1" applyFont="1" applyFill="1" applyBorder="1" applyAlignment="1" applyProtection="1">
      <alignment horizontal="center" vertical="center"/>
      <protection locked="0"/>
    </xf>
    <xf numFmtId="164" fontId="16" fillId="10" borderId="8" xfId="1" applyNumberFormat="1" applyFont="1" applyFill="1" applyBorder="1" applyAlignment="1" applyProtection="1">
      <alignment vertical="center"/>
      <protection locked="0"/>
    </xf>
    <xf numFmtId="0" fontId="16" fillId="10" borderId="46" xfId="1" applyFont="1" applyFill="1" applyBorder="1" applyAlignment="1" applyProtection="1">
      <alignment vertical="center"/>
      <protection locked="0"/>
    </xf>
    <xf numFmtId="0" fontId="16" fillId="15" borderId="46" xfId="1" applyFont="1" applyFill="1" applyBorder="1" applyAlignment="1" applyProtection="1">
      <alignment horizontal="center" vertical="center"/>
      <protection locked="0"/>
    </xf>
    <xf numFmtId="0" fontId="16" fillId="10" borderId="46" xfId="1" applyFont="1" applyFill="1" applyBorder="1" applyAlignment="1" applyProtection="1">
      <alignment horizontal="center" vertical="center"/>
      <protection locked="0"/>
    </xf>
    <xf numFmtId="164" fontId="16" fillId="10" borderId="46" xfId="1" applyNumberFormat="1" applyFont="1" applyFill="1" applyBorder="1" applyAlignment="1" applyProtection="1">
      <alignment vertical="center"/>
      <protection locked="0"/>
    </xf>
    <xf numFmtId="0" fontId="0" fillId="0" borderId="15" xfId="0" applyBorder="1" applyProtection="1">
      <protection locked="0"/>
    </xf>
    <xf numFmtId="0" fontId="3" fillId="0" borderId="0" xfId="1" applyFont="1" applyProtection="1">
      <protection locked="0"/>
    </xf>
    <xf numFmtId="0" fontId="4" fillId="0" borderId="0" xfId="1" applyFont="1" applyProtection="1">
      <protection locked="0"/>
    </xf>
    <xf numFmtId="0" fontId="5" fillId="0" borderId="0" xfId="1" applyFont="1" applyProtection="1">
      <protection locked="0"/>
    </xf>
    <xf numFmtId="0" fontId="2" fillId="0" borderId="0" xfId="1" applyProtection="1">
      <protection locked="0"/>
    </xf>
    <xf numFmtId="0" fontId="17" fillId="0" borderId="37" xfId="1" applyFont="1" applyBorder="1" applyAlignment="1" applyProtection="1">
      <alignment vertical="center"/>
      <protection locked="0"/>
    </xf>
    <xf numFmtId="0" fontId="8" fillId="10" borderId="37" xfId="1" applyFont="1" applyFill="1" applyBorder="1" applyAlignment="1" applyProtection="1">
      <alignment vertical="center"/>
      <protection locked="0"/>
    </xf>
    <xf numFmtId="0" fontId="8" fillId="10" borderId="23" xfId="1" applyFont="1" applyFill="1" applyBorder="1" applyAlignment="1" applyProtection="1">
      <alignment vertical="center"/>
      <protection locked="0"/>
    </xf>
    <xf numFmtId="0" fontId="8" fillId="10" borderId="24" xfId="1" applyFont="1" applyFill="1" applyBorder="1" applyAlignment="1" applyProtection="1">
      <alignment vertical="center"/>
      <protection locked="0"/>
    </xf>
    <xf numFmtId="0" fontId="6" fillId="0" borderId="0" xfId="1" applyFont="1" applyProtection="1">
      <protection locked="0"/>
    </xf>
    <xf numFmtId="0" fontId="16" fillId="0" borderId="24" xfId="1" applyFont="1" applyBorder="1" applyProtection="1">
      <protection locked="0"/>
    </xf>
    <xf numFmtId="0" fontId="16" fillId="10" borderId="23" xfId="1" applyFont="1" applyFill="1" applyBorder="1" applyAlignment="1" applyProtection="1">
      <alignment horizontal="center" vertical="center" wrapText="1"/>
      <protection locked="0"/>
    </xf>
    <xf numFmtId="0" fontId="2" fillId="0" borderId="37" xfId="1" applyBorder="1" applyProtection="1">
      <protection locked="0"/>
    </xf>
    <xf numFmtId="0" fontId="4" fillId="0" borderId="23" xfId="1" applyFont="1" applyBorder="1" applyProtection="1">
      <protection locked="0"/>
    </xf>
    <xf numFmtId="0" fontId="4" fillId="0" borderId="24" xfId="1" applyFont="1" applyBorder="1" applyProtection="1">
      <protection locked="0"/>
    </xf>
    <xf numFmtId="0" fontId="16" fillId="10" borderId="8" xfId="1" applyFont="1" applyFill="1" applyBorder="1" applyAlignment="1" applyProtection="1">
      <alignment horizontal="center" vertical="center" wrapText="1"/>
      <protection locked="0"/>
    </xf>
    <xf numFmtId="164" fontId="16" fillId="10" borderId="8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4" xfId="1" applyBorder="1" applyProtection="1">
      <protection locked="0"/>
    </xf>
    <xf numFmtId="9" fontId="16" fillId="15" borderId="8" xfId="2" applyFont="1" applyFill="1" applyBorder="1" applyAlignment="1" applyProtection="1">
      <alignment horizontal="center" vertical="center" wrapText="1"/>
      <protection locked="0"/>
    </xf>
    <xf numFmtId="9" fontId="8" fillId="15" borderId="37" xfId="2" applyFont="1" applyFill="1" applyBorder="1" applyAlignment="1" applyProtection="1">
      <alignment horizontal="center" vertical="center" wrapText="1"/>
      <protection locked="0"/>
    </xf>
    <xf numFmtId="164" fontId="8" fillId="10" borderId="37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1" applyFont="1" applyAlignment="1" applyProtection="1">
      <alignment horizontal="center"/>
      <protection locked="0"/>
    </xf>
    <xf numFmtId="0" fontId="7" fillId="0" borderId="13" xfId="1" applyFont="1" applyBorder="1" applyAlignment="1" applyProtection="1">
      <alignment horizontal="left" vertical="center"/>
      <protection locked="0"/>
    </xf>
    <xf numFmtId="0" fontId="7" fillId="0" borderId="5" xfId="1" applyFont="1" applyBorder="1" applyAlignment="1" applyProtection="1">
      <alignment horizontal="left" vertical="center"/>
      <protection locked="0"/>
    </xf>
    <xf numFmtId="0" fontId="7" fillId="0" borderId="14" xfId="1" applyFont="1" applyBorder="1" applyAlignment="1" applyProtection="1">
      <alignment horizontal="center" vertical="center" wrapText="1"/>
      <protection locked="0"/>
    </xf>
    <xf numFmtId="0" fontId="7" fillId="0" borderId="8" xfId="1" applyFont="1" applyBorder="1" applyAlignment="1" applyProtection="1">
      <alignment horizontal="center" vertical="center" wrapText="1"/>
      <protection locked="0"/>
    </xf>
    <xf numFmtId="165" fontId="16" fillId="10" borderId="8" xfId="1" applyNumberFormat="1" applyFont="1" applyFill="1" applyBorder="1" applyAlignment="1" applyProtection="1">
      <alignment horizontal="center" vertical="center"/>
      <protection locked="0"/>
    </xf>
    <xf numFmtId="0" fontId="16" fillId="25" borderId="37" xfId="1" applyFont="1" applyFill="1" applyBorder="1" applyAlignment="1" applyProtection="1">
      <alignment vertical="top"/>
      <protection locked="0"/>
    </xf>
    <xf numFmtId="0" fontId="16" fillId="25" borderId="23" xfId="1" applyFont="1" applyFill="1" applyBorder="1" applyAlignment="1" applyProtection="1">
      <alignment vertical="top" wrapText="1"/>
      <protection locked="0"/>
    </xf>
    <xf numFmtId="0" fontId="2" fillId="25" borderId="24" xfId="1" applyFill="1" applyBorder="1" applyAlignment="1" applyProtection="1">
      <alignment vertical="top" wrapText="1"/>
      <protection locked="0"/>
    </xf>
    <xf numFmtId="0" fontId="16" fillId="25" borderId="37" xfId="1" applyFont="1" applyFill="1" applyBorder="1" applyAlignment="1" applyProtection="1">
      <alignment vertical="top" wrapText="1"/>
      <protection locked="0"/>
    </xf>
    <xf numFmtId="165" fontId="16" fillId="10" borderId="37" xfId="1" applyNumberFormat="1" applyFont="1" applyFill="1" applyBorder="1" applyAlignment="1" applyProtection="1">
      <alignment horizontal="center" vertical="center"/>
      <protection locked="0"/>
    </xf>
    <xf numFmtId="0" fontId="16" fillId="25" borderId="24" xfId="1" applyFont="1" applyFill="1" applyBorder="1" applyAlignment="1" applyProtection="1">
      <alignment vertical="top" wrapText="1"/>
      <protection locked="0"/>
    </xf>
    <xf numFmtId="165" fontId="16" fillId="10" borderId="47" xfId="1" applyNumberFormat="1" applyFont="1" applyFill="1" applyBorder="1" applyAlignment="1" applyProtection="1">
      <alignment horizontal="center" vertical="center"/>
      <protection locked="0"/>
    </xf>
    <xf numFmtId="0" fontId="17" fillId="0" borderId="47" xfId="1" applyFont="1" applyBorder="1" applyAlignment="1" applyProtection="1">
      <alignment vertical="center"/>
      <protection locked="0"/>
    </xf>
    <xf numFmtId="0" fontId="2" fillId="0" borderId="29" xfId="1" applyBorder="1" applyAlignment="1" applyProtection="1">
      <alignment vertical="center"/>
      <protection locked="0"/>
    </xf>
    <xf numFmtId="0" fontId="2" fillId="0" borderId="44" xfId="1" applyBorder="1" applyAlignment="1" applyProtection="1">
      <alignment vertical="center"/>
      <protection locked="0"/>
    </xf>
    <xf numFmtId="0" fontId="2" fillId="0" borderId="0" xfId="1" applyAlignment="1" applyProtection="1">
      <alignment vertical="center"/>
      <protection locked="0"/>
    </xf>
    <xf numFmtId="0" fontId="2" fillId="0" borderId="23" xfId="1" applyBorder="1" applyAlignment="1" applyProtection="1">
      <alignment vertical="center"/>
      <protection locked="0"/>
    </xf>
    <xf numFmtId="0" fontId="2" fillId="0" borderId="24" xfId="1" applyBorder="1" applyAlignment="1" applyProtection="1">
      <alignment vertical="center"/>
      <protection locked="0"/>
    </xf>
    <xf numFmtId="166" fontId="2" fillId="0" borderId="8" xfId="1" applyNumberFormat="1" applyBorder="1" applyAlignment="1" applyProtection="1">
      <alignment horizontal="right" vertical="center"/>
      <protection locked="0"/>
    </xf>
    <xf numFmtId="166" fontId="2" fillId="0" borderId="0" xfId="1" applyNumberFormat="1" applyAlignment="1" applyProtection="1">
      <alignment horizontal="right" vertical="center"/>
      <protection locked="0"/>
    </xf>
    <xf numFmtId="166" fontId="1" fillId="0" borderId="0" xfId="1" applyNumberFormat="1" applyFont="1" applyAlignment="1" applyProtection="1">
      <alignment horizontal="right" vertical="center"/>
      <protection locked="0"/>
    </xf>
    <xf numFmtId="0" fontId="7" fillId="0" borderId="23" xfId="1" applyFont="1" applyBorder="1" applyAlignment="1" applyProtection="1">
      <alignment vertical="center"/>
      <protection locked="0"/>
    </xf>
    <xf numFmtId="0" fontId="7" fillId="0" borderId="29" xfId="1" applyFont="1" applyBorder="1" applyAlignment="1" applyProtection="1">
      <alignment vertical="center"/>
      <protection locked="0"/>
    </xf>
    <xf numFmtId="0" fontId="7" fillId="0" borderId="24" xfId="1" applyFont="1" applyBorder="1" applyAlignment="1" applyProtection="1">
      <alignment vertical="center"/>
      <protection locked="0"/>
    </xf>
    <xf numFmtId="164" fontId="10" fillId="0" borderId="0" xfId="1" applyNumberFormat="1" applyFont="1" applyAlignment="1" applyProtection="1">
      <alignment horizontal="right" vertical="center"/>
      <protection locked="0"/>
    </xf>
    <xf numFmtId="0" fontId="1" fillId="0" borderId="24" xfId="1" applyFont="1" applyBorder="1" applyAlignment="1" applyProtection="1">
      <alignment vertical="center"/>
      <protection locked="0"/>
    </xf>
    <xf numFmtId="10" fontId="2" fillId="0" borderId="0" xfId="2" applyNumberFormat="1" applyFont="1" applyBorder="1" applyAlignment="1" applyProtection="1">
      <alignment horizontal="right" vertical="center"/>
      <protection locked="0"/>
    </xf>
    <xf numFmtId="164" fontId="2" fillId="0" borderId="0" xfId="2" applyNumberFormat="1" applyFont="1" applyBorder="1" applyAlignment="1" applyProtection="1">
      <alignment horizontal="right" vertical="center"/>
      <protection locked="0"/>
    </xf>
    <xf numFmtId="0" fontId="2" fillId="0" borderId="56" xfId="1" applyBorder="1" applyProtection="1">
      <protection locked="0"/>
    </xf>
    <xf numFmtId="0" fontId="7" fillId="0" borderId="55" xfId="1" applyFont="1" applyBorder="1" applyAlignment="1" applyProtection="1">
      <alignment vertical="center"/>
      <protection locked="0"/>
    </xf>
    <xf numFmtId="0" fontId="7" fillId="0" borderId="0" xfId="1" applyFont="1" applyAlignment="1" applyProtection="1">
      <alignment vertical="center"/>
      <protection locked="0"/>
    </xf>
    <xf numFmtId="0" fontId="17" fillId="0" borderId="0" xfId="1" applyFont="1" applyAlignment="1" applyProtection="1">
      <alignment vertical="center"/>
      <protection locked="0"/>
    </xf>
    <xf numFmtId="0" fontId="17" fillId="0" borderId="8" xfId="1" applyFont="1" applyBorder="1" applyProtection="1">
      <protection locked="0"/>
    </xf>
    <xf numFmtId="0" fontId="16" fillId="10" borderId="7" xfId="1" applyFont="1" applyFill="1" applyBorder="1" applyProtection="1">
      <protection locked="0"/>
    </xf>
    <xf numFmtId="0" fontId="16" fillId="10" borderId="8" xfId="1" applyFont="1" applyFill="1" applyBorder="1" applyProtection="1">
      <protection locked="0"/>
    </xf>
    <xf numFmtId="0" fontId="16" fillId="15" borderId="8" xfId="1" applyFont="1" applyFill="1" applyBorder="1" applyProtection="1">
      <protection locked="0"/>
    </xf>
    <xf numFmtId="0" fontId="17" fillId="10" borderId="8" xfId="1" applyFont="1" applyFill="1" applyBorder="1" applyProtection="1">
      <protection locked="0"/>
    </xf>
    <xf numFmtId="0" fontId="16" fillId="10" borderId="7" xfId="1" applyFont="1" applyFill="1" applyBorder="1" applyAlignment="1" applyProtection="1">
      <alignment vertical="center"/>
      <protection locked="0"/>
    </xf>
    <xf numFmtId="0" fontId="2" fillId="0" borderId="8" xfId="1" applyBorder="1" applyProtection="1">
      <protection locked="0"/>
    </xf>
    <xf numFmtId="0" fontId="1" fillId="0" borderId="8" xfId="1" applyFont="1" applyBorder="1" applyProtection="1">
      <protection locked="0"/>
    </xf>
    <xf numFmtId="0" fontId="21" fillId="0" borderId="0" xfId="7" applyFont="1" applyAlignment="1" applyProtection="1">
      <alignment vertical="center" wrapText="1"/>
      <protection locked="0"/>
    </xf>
    <xf numFmtId="0" fontId="21" fillId="0" borderId="0" xfId="5" applyFont="1" applyAlignment="1" applyProtection="1">
      <alignment vertical="center" wrapText="1"/>
      <protection locked="0"/>
    </xf>
    <xf numFmtId="0" fontId="23" fillId="0" borderId="0" xfId="7" applyFont="1" applyAlignment="1" applyProtection="1">
      <alignment horizontal="left" vertical="center" wrapText="1"/>
      <protection locked="0"/>
    </xf>
    <xf numFmtId="0" fontId="21" fillId="0" borderId="0" xfId="7" applyFont="1" applyAlignment="1" applyProtection="1">
      <alignment horizontal="left" vertical="center" wrapText="1"/>
      <protection locked="0"/>
    </xf>
    <xf numFmtId="0" fontId="53" fillId="22" borderId="111" xfId="0" applyFont="1" applyFill="1" applyBorder="1" applyAlignment="1" applyProtection="1">
      <alignment horizontal="left"/>
      <protection locked="0"/>
    </xf>
    <xf numFmtId="0" fontId="53" fillId="22" borderId="113" xfId="0" applyFont="1" applyFill="1" applyBorder="1" applyAlignment="1" applyProtection="1">
      <alignment horizontal="left"/>
      <protection locked="0"/>
    </xf>
    <xf numFmtId="3" fontId="36" fillId="19" borderId="0" xfId="5" applyNumberFormat="1" applyFont="1" applyFill="1" applyAlignment="1">
      <alignment horizontal="center" vertical="center"/>
    </xf>
    <xf numFmtId="0" fontId="36" fillId="20" borderId="45" xfId="5" applyFont="1" applyFill="1" applyBorder="1" applyAlignment="1">
      <alignment vertical="center"/>
    </xf>
    <xf numFmtId="1" fontId="21" fillId="14" borderId="0" xfId="5" applyNumberFormat="1" applyFont="1" applyFill="1" applyAlignment="1">
      <alignment horizontal="right" vertical="center"/>
    </xf>
    <xf numFmtId="0" fontId="23" fillId="21" borderId="34" xfId="5" applyFont="1" applyFill="1" applyBorder="1" applyAlignment="1">
      <alignment vertical="center"/>
    </xf>
    <xf numFmtId="171" fontId="18" fillId="21" borderId="45" xfId="5" applyNumberFormat="1" applyFont="1" applyFill="1" applyBorder="1" applyAlignment="1">
      <alignment vertical="center"/>
    </xf>
    <xf numFmtId="0" fontId="21" fillId="21" borderId="45" xfId="5" applyFont="1" applyFill="1" applyBorder="1" applyAlignment="1">
      <alignment vertical="center"/>
    </xf>
    <xf numFmtId="0" fontId="21" fillId="21" borderId="34" xfId="5" applyFont="1" applyFill="1" applyBorder="1" applyAlignment="1">
      <alignment horizontal="center" vertical="center"/>
    </xf>
    <xf numFmtId="0" fontId="21" fillId="21" borderId="45" xfId="5" applyFont="1" applyFill="1" applyBorder="1" applyAlignment="1">
      <alignment horizontal="center" vertical="center"/>
    </xf>
    <xf numFmtId="0" fontId="18" fillId="14" borderId="60" xfId="5" applyFont="1" applyFill="1" applyBorder="1" applyAlignment="1">
      <alignment vertical="center"/>
    </xf>
    <xf numFmtId="171" fontId="18" fillId="14" borderId="61" xfId="5" applyNumberFormat="1" applyFont="1" applyFill="1" applyBorder="1" applyAlignment="1">
      <alignment vertical="center"/>
    </xf>
    <xf numFmtId="171" fontId="18" fillId="14" borderId="62" xfId="5" applyNumberFormat="1" applyFont="1" applyFill="1" applyBorder="1" applyAlignment="1">
      <alignment vertical="center"/>
    </xf>
    <xf numFmtId="171" fontId="18" fillId="14" borderId="63" xfId="5" applyNumberFormat="1" applyFont="1" applyFill="1" applyBorder="1" applyAlignment="1">
      <alignment vertical="center"/>
    </xf>
    <xf numFmtId="171" fontId="18" fillId="14" borderId="38" xfId="5" applyNumberFormat="1" applyFont="1" applyFill="1" applyBorder="1" applyAlignment="1">
      <alignment vertical="center"/>
    </xf>
    <xf numFmtId="171" fontId="18" fillId="5" borderId="42" xfId="5" applyNumberFormat="1" applyFont="1" applyFill="1" applyBorder="1" applyAlignment="1">
      <alignment vertical="center"/>
    </xf>
    <xf numFmtId="171" fontId="18" fillId="14" borderId="16" xfId="5" applyNumberFormat="1" applyFont="1" applyFill="1" applyBorder="1" applyAlignment="1">
      <alignment horizontal="center" vertical="center" wrapText="1"/>
    </xf>
    <xf numFmtId="0" fontId="18" fillId="14" borderId="64" xfId="5" applyFont="1" applyFill="1" applyBorder="1" applyAlignment="1">
      <alignment vertical="center"/>
    </xf>
    <xf numFmtId="171" fontId="18" fillId="14" borderId="65" xfId="5" applyNumberFormat="1" applyFont="1" applyFill="1" applyBorder="1" applyAlignment="1">
      <alignment vertical="center"/>
    </xf>
    <xf numFmtId="171" fontId="18" fillId="14" borderId="66" xfId="5" applyNumberFormat="1" applyFont="1" applyFill="1" applyBorder="1" applyAlignment="1">
      <alignment vertical="center"/>
    </xf>
    <xf numFmtId="171" fontId="18" fillId="14" borderId="67" xfId="5" applyNumberFormat="1" applyFont="1" applyFill="1" applyBorder="1" applyAlignment="1">
      <alignment vertical="center"/>
    </xf>
    <xf numFmtId="171" fontId="18" fillId="14" borderId="8" xfId="5" applyNumberFormat="1" applyFont="1" applyFill="1" applyBorder="1" applyAlignment="1">
      <alignment vertical="center"/>
    </xf>
    <xf numFmtId="171" fontId="18" fillId="5" borderId="9" xfId="5" applyNumberFormat="1" applyFont="1" applyFill="1" applyBorder="1" applyAlignment="1">
      <alignment vertical="center"/>
    </xf>
    <xf numFmtId="171" fontId="18" fillId="14" borderId="68" xfId="5" applyNumberFormat="1" applyFont="1" applyFill="1" applyBorder="1" applyAlignment="1">
      <alignment vertical="center"/>
    </xf>
    <xf numFmtId="171" fontId="18" fillId="4" borderId="68" xfId="5" applyNumberFormat="1" applyFont="1" applyFill="1" applyBorder="1" applyAlignment="1">
      <alignment horizontal="left" vertical="center"/>
    </xf>
    <xf numFmtId="171" fontId="18" fillId="21" borderId="36" xfId="5" applyNumberFormat="1" applyFont="1" applyFill="1" applyBorder="1" applyAlignment="1">
      <alignment vertical="center"/>
    </xf>
    <xf numFmtId="171" fontId="18" fillId="14" borderId="72" xfId="5" applyNumberFormat="1" applyFont="1" applyFill="1" applyBorder="1" applyAlignment="1">
      <alignment vertical="center"/>
    </xf>
    <xf numFmtId="171" fontId="18" fillId="14" borderId="73" xfId="5" applyNumberFormat="1" applyFont="1" applyFill="1" applyBorder="1" applyAlignment="1">
      <alignment vertical="center"/>
    </xf>
    <xf numFmtId="171" fontId="18" fillId="14" borderId="74" xfId="5" applyNumberFormat="1" applyFont="1" applyFill="1" applyBorder="1" applyAlignment="1">
      <alignment vertical="center"/>
    </xf>
    <xf numFmtId="171" fontId="18" fillId="14" borderId="11" xfId="5" applyNumberFormat="1" applyFont="1" applyFill="1" applyBorder="1" applyAlignment="1">
      <alignment vertical="center"/>
    </xf>
    <xf numFmtId="171" fontId="18" fillId="4" borderId="12" xfId="5" applyNumberFormat="1" applyFont="1" applyFill="1" applyBorder="1" applyAlignment="1">
      <alignment vertical="center"/>
    </xf>
    <xf numFmtId="171" fontId="18" fillId="14" borderId="75" xfId="5" applyNumberFormat="1" applyFont="1" applyFill="1" applyBorder="1" applyAlignment="1">
      <alignment vertical="center"/>
    </xf>
    <xf numFmtId="0" fontId="18" fillId="14" borderId="76" xfId="5" applyFont="1" applyFill="1" applyBorder="1" applyAlignment="1">
      <alignment vertical="center"/>
    </xf>
    <xf numFmtId="171" fontId="18" fillId="14" borderId="77" xfId="5" applyNumberFormat="1" applyFont="1" applyFill="1" applyBorder="1" applyAlignment="1">
      <alignment vertical="center"/>
    </xf>
    <xf numFmtId="171" fontId="18" fillId="14" borderId="78" xfId="5" applyNumberFormat="1" applyFont="1" applyFill="1" applyBorder="1" applyAlignment="1">
      <alignment vertical="center"/>
    </xf>
    <xf numFmtId="171" fontId="18" fillId="14" borderId="79" xfId="5" applyNumberFormat="1" applyFont="1" applyFill="1" applyBorder="1" applyAlignment="1">
      <alignment vertical="center"/>
    </xf>
    <xf numFmtId="171" fontId="18" fillId="16" borderId="45" xfId="5" applyNumberFormat="1" applyFont="1" applyFill="1" applyBorder="1" applyAlignment="1">
      <alignment vertical="center"/>
    </xf>
    <xf numFmtId="49" fontId="36" fillId="19" borderId="0" xfId="5" applyNumberFormat="1" applyFont="1" applyFill="1" applyAlignment="1">
      <alignment horizontal="center" vertical="center" wrapText="1"/>
    </xf>
    <xf numFmtId="171" fontId="18" fillId="14" borderId="45" xfId="5" applyNumberFormat="1" applyFont="1" applyFill="1" applyBorder="1" applyAlignment="1">
      <alignment horizontal="right" vertical="center"/>
    </xf>
    <xf numFmtId="9" fontId="18" fillId="14" borderId="80" xfId="5" applyNumberFormat="1" applyFont="1" applyFill="1" applyBorder="1" applyAlignment="1">
      <alignment vertical="center"/>
    </xf>
    <xf numFmtId="177" fontId="18" fillId="14" borderId="81" xfId="5" applyNumberFormat="1" applyFont="1" applyFill="1" applyBorder="1" applyAlignment="1">
      <alignment horizontal="right" vertical="center"/>
    </xf>
    <xf numFmtId="177" fontId="18" fillId="14" borderId="82" xfId="5" applyNumberFormat="1" applyFont="1" applyFill="1" applyBorder="1" applyAlignment="1">
      <alignment horizontal="left" vertical="center"/>
    </xf>
    <xf numFmtId="9" fontId="18" fillId="14" borderId="17" xfId="5" applyNumberFormat="1" applyFont="1" applyFill="1" applyBorder="1" applyAlignment="1">
      <alignment vertical="center"/>
    </xf>
    <xf numFmtId="177" fontId="18" fillId="14" borderId="83" xfId="5" applyNumberFormat="1" applyFont="1" applyFill="1" applyBorder="1" applyAlignment="1">
      <alignment horizontal="right" vertical="center"/>
    </xf>
    <xf numFmtId="177" fontId="18" fillId="14" borderId="15" xfId="5" applyNumberFormat="1" applyFont="1" applyFill="1" applyBorder="1" applyAlignment="1">
      <alignment horizontal="left" vertical="center"/>
    </xf>
    <xf numFmtId="0" fontId="18" fillId="14" borderId="84" xfId="5" applyFont="1" applyFill="1" applyBorder="1" applyAlignment="1">
      <alignment vertical="center"/>
    </xf>
    <xf numFmtId="171" fontId="18" fillId="14" borderId="72" xfId="5" applyNumberFormat="1" applyFont="1" applyFill="1" applyBorder="1" applyAlignment="1">
      <alignment horizontal="right" vertical="center"/>
    </xf>
    <xf numFmtId="177" fontId="18" fillId="14" borderId="85" xfId="5" applyNumberFormat="1" applyFont="1" applyFill="1" applyBorder="1" applyAlignment="1">
      <alignment horizontal="right" vertical="center"/>
    </xf>
    <xf numFmtId="9" fontId="18" fillId="14" borderId="86" xfId="5" applyNumberFormat="1" applyFont="1" applyFill="1" applyBorder="1" applyAlignment="1">
      <alignment vertical="center"/>
    </xf>
    <xf numFmtId="177" fontId="18" fillId="14" borderId="87" xfId="5" applyNumberFormat="1" applyFont="1" applyFill="1" applyBorder="1" applyAlignment="1">
      <alignment horizontal="right" vertical="center"/>
    </xf>
    <xf numFmtId="177" fontId="18" fillId="14" borderId="88" xfId="5" applyNumberFormat="1" applyFont="1" applyFill="1" applyBorder="1" applyAlignment="1">
      <alignment vertical="center"/>
    </xf>
    <xf numFmtId="0" fontId="23" fillId="14" borderId="84" xfId="5" applyFont="1" applyFill="1" applyBorder="1" applyAlignment="1">
      <alignment horizontal="right" vertical="center" wrapText="1"/>
    </xf>
    <xf numFmtId="171" fontId="23" fillId="14" borderId="72" xfId="5" applyNumberFormat="1" applyFont="1" applyFill="1" applyBorder="1" applyAlignment="1">
      <alignment horizontal="right" vertical="center"/>
    </xf>
    <xf numFmtId="171" fontId="24" fillId="14" borderId="72" xfId="5" applyNumberFormat="1" applyFont="1" applyFill="1" applyBorder="1" applyAlignment="1">
      <alignment horizontal="right" vertical="center"/>
    </xf>
    <xf numFmtId="0" fontId="24" fillId="14" borderId="84" xfId="5" applyFont="1" applyFill="1" applyBorder="1" applyAlignment="1">
      <alignment horizontal="right" vertical="center" wrapText="1"/>
    </xf>
    <xf numFmtId="3" fontId="42" fillId="5" borderId="63" xfId="1" applyNumberFormat="1" applyFont="1" applyFill="1" applyBorder="1"/>
    <xf numFmtId="171" fontId="42" fillId="14" borderId="95" xfId="1" applyNumberFormat="1" applyFont="1" applyFill="1" applyBorder="1"/>
    <xf numFmtId="171" fontId="42" fillId="14" borderId="98" xfId="1" applyNumberFormat="1" applyFont="1" applyFill="1" applyBorder="1"/>
    <xf numFmtId="171" fontId="42" fillId="14" borderId="101" xfId="1" applyNumberFormat="1" applyFont="1" applyFill="1" applyBorder="1"/>
    <xf numFmtId="171" fontId="21" fillId="21" borderId="45" xfId="5" applyNumberFormat="1" applyFont="1" applyFill="1" applyBorder="1" applyAlignment="1">
      <alignment horizontal="right" vertical="center"/>
    </xf>
    <xf numFmtId="177" fontId="18" fillId="14" borderId="82" xfId="5" applyNumberFormat="1" applyFont="1" applyFill="1" applyBorder="1" applyAlignment="1">
      <alignment horizontal="right" vertical="center"/>
    </xf>
    <xf numFmtId="177" fontId="18" fillId="14" borderId="15" xfId="5" applyNumberFormat="1" applyFont="1" applyFill="1" applyBorder="1" applyAlignment="1">
      <alignment vertical="center"/>
    </xf>
    <xf numFmtId="177" fontId="18" fillId="14" borderId="82" xfId="5" applyNumberFormat="1" applyFont="1" applyFill="1" applyBorder="1" applyAlignment="1">
      <alignment vertical="center"/>
    </xf>
    <xf numFmtId="0" fontId="18" fillId="6" borderId="7" xfId="5" applyFont="1" applyFill="1" applyBorder="1" applyAlignment="1">
      <alignment horizontal="center" vertical="center"/>
    </xf>
    <xf numFmtId="0" fontId="23" fillId="21" borderId="45" xfId="5" applyFont="1" applyFill="1" applyBorder="1" applyAlignment="1">
      <alignment vertical="center"/>
    </xf>
    <xf numFmtId="171" fontId="18" fillId="14" borderId="45" xfId="5" applyNumberFormat="1" applyFont="1" applyFill="1" applyBorder="1" applyAlignment="1">
      <alignment vertical="center"/>
    </xf>
    <xf numFmtId="9" fontId="18" fillId="14" borderId="7" xfId="5" applyNumberFormat="1" applyFont="1" applyFill="1" applyBorder="1" applyAlignment="1">
      <alignment horizontal="center" vertical="center"/>
    </xf>
    <xf numFmtId="171" fontId="18" fillId="14" borderId="9" xfId="5" applyNumberFormat="1" applyFont="1" applyFill="1" applyBorder="1" applyAlignment="1">
      <alignment vertical="center"/>
    </xf>
    <xf numFmtId="171" fontId="18" fillId="14" borderId="16" xfId="5" applyNumberFormat="1" applyFont="1" applyFill="1" applyBorder="1" applyAlignment="1">
      <alignment vertical="center"/>
    </xf>
    <xf numFmtId="171" fontId="18" fillId="14" borderId="68" xfId="5" applyNumberFormat="1" applyFont="1" applyFill="1" applyBorder="1" applyAlignment="1">
      <alignment horizontal="right" vertical="center"/>
    </xf>
    <xf numFmtId="171" fontId="18" fillId="14" borderId="25" xfId="5" applyNumberFormat="1" applyFont="1" applyFill="1" applyBorder="1" applyAlignment="1">
      <alignment horizontal="right" vertical="center"/>
    </xf>
    <xf numFmtId="171" fontId="18" fillId="14" borderId="9" xfId="5" applyNumberFormat="1" applyFont="1" applyFill="1" applyBorder="1" applyAlignment="1">
      <alignment horizontal="right" vertical="center"/>
    </xf>
    <xf numFmtId="171" fontId="18" fillId="14" borderId="36" xfId="5" applyNumberFormat="1" applyFont="1" applyFill="1" applyBorder="1" applyAlignment="1">
      <alignment horizontal="right" vertical="center"/>
    </xf>
    <xf numFmtId="171" fontId="21" fillId="14" borderId="45" xfId="5" applyNumberFormat="1" applyFont="1" applyFill="1" applyBorder="1" applyAlignment="1">
      <alignment horizontal="right" vertical="center"/>
    </xf>
    <xf numFmtId="171" fontId="21" fillId="14" borderId="36" xfId="5" applyNumberFormat="1" applyFont="1" applyFill="1" applyBorder="1" applyAlignment="1">
      <alignment horizontal="right" vertical="center"/>
    </xf>
    <xf numFmtId="3" fontId="36" fillId="0" borderId="0" xfId="5" applyNumberFormat="1" applyFont="1" applyAlignment="1" applyProtection="1">
      <alignment vertical="center"/>
      <protection locked="0"/>
    </xf>
    <xf numFmtId="0" fontId="21" fillId="0" borderId="0" xfId="5" applyFont="1" applyAlignment="1" applyProtection="1">
      <alignment vertical="center"/>
      <protection locked="0"/>
    </xf>
    <xf numFmtId="166" fontId="18" fillId="0" borderId="0" xfId="5" applyNumberFormat="1" applyFont="1" applyAlignment="1" applyProtection="1">
      <alignment horizontal="right" vertical="center"/>
      <protection locked="0"/>
    </xf>
    <xf numFmtId="0" fontId="38" fillId="0" borderId="0" xfId="5" applyFont="1" applyAlignment="1" applyProtection="1">
      <alignment vertical="center"/>
      <protection locked="0"/>
    </xf>
    <xf numFmtId="176" fontId="18" fillId="0" borderId="0" xfId="5" applyNumberFormat="1" applyFont="1" applyAlignment="1" applyProtection="1">
      <alignment vertical="center"/>
      <protection locked="0"/>
    </xf>
    <xf numFmtId="0" fontId="39" fillId="0" borderId="0" xfId="5" applyFont="1" applyAlignment="1" applyProtection="1">
      <alignment horizontal="left" vertical="center"/>
      <protection locked="0"/>
    </xf>
    <xf numFmtId="0" fontId="39" fillId="0" borderId="0" xfId="5" applyFont="1" applyAlignment="1" applyProtection="1">
      <alignment vertical="center"/>
      <protection locked="0"/>
    </xf>
    <xf numFmtId="171" fontId="21" fillId="0" borderId="0" xfId="5" applyNumberFormat="1" applyFont="1" applyAlignment="1" applyProtection="1">
      <alignment vertical="center"/>
      <protection locked="0"/>
    </xf>
    <xf numFmtId="0" fontId="22" fillId="0" borderId="0" xfId="5" applyFont="1" applyAlignment="1" applyProtection="1">
      <alignment vertical="center"/>
      <protection locked="0"/>
    </xf>
    <xf numFmtId="49" fontId="21" fillId="0" borderId="0" xfId="5" applyNumberFormat="1" applyFont="1" applyAlignment="1" applyProtection="1">
      <alignment horizontal="center" vertical="center" wrapText="1"/>
      <protection locked="0"/>
    </xf>
    <xf numFmtId="49" fontId="21" fillId="0" borderId="0" xfId="5" applyNumberFormat="1" applyFont="1" applyAlignment="1" applyProtection="1">
      <alignment vertical="center" wrapText="1"/>
      <protection locked="0"/>
    </xf>
    <xf numFmtId="0" fontId="18" fillId="12" borderId="0" xfId="5" applyFont="1" applyFill="1" applyAlignment="1" applyProtection="1">
      <alignment vertical="center"/>
      <protection locked="0"/>
    </xf>
    <xf numFmtId="49" fontId="40" fillId="0" borderId="0" xfId="5" applyNumberFormat="1" applyFont="1" applyAlignment="1" applyProtection="1">
      <alignment vertical="center" wrapText="1"/>
      <protection locked="0"/>
    </xf>
    <xf numFmtId="0" fontId="23" fillId="0" borderId="60" xfId="5" applyFont="1" applyBorder="1" applyAlignment="1" applyProtection="1">
      <alignment vertical="center"/>
      <protection locked="0"/>
    </xf>
    <xf numFmtId="171" fontId="18" fillId="0" borderId="61" xfId="5" applyNumberFormat="1" applyFont="1" applyBorder="1" applyAlignment="1" applyProtection="1">
      <alignment horizontal="right" vertical="center"/>
      <protection locked="0"/>
    </xf>
    <xf numFmtId="3" fontId="18" fillId="0" borderId="0" xfId="5" applyNumberFormat="1" applyFont="1" applyAlignment="1" applyProtection="1">
      <alignment vertical="center"/>
      <protection locked="0"/>
    </xf>
    <xf numFmtId="0" fontId="18" fillId="12" borderId="76" xfId="5" applyFont="1" applyFill="1" applyBorder="1" applyAlignment="1" applyProtection="1">
      <alignment vertical="center"/>
      <protection locked="0"/>
    </xf>
    <xf numFmtId="171" fontId="18" fillId="0" borderId="77" xfId="5" applyNumberFormat="1" applyFont="1" applyBorder="1" applyAlignment="1" applyProtection="1">
      <alignment horizontal="right" vertical="center"/>
      <protection locked="0"/>
    </xf>
    <xf numFmtId="171" fontId="18" fillId="0" borderId="77" xfId="5" applyNumberFormat="1" applyFont="1" applyBorder="1" applyAlignment="1" applyProtection="1">
      <alignment vertical="center"/>
      <protection locked="0"/>
    </xf>
    <xf numFmtId="171" fontId="18" fillId="0" borderId="0" xfId="5" applyNumberFormat="1" applyFont="1" applyAlignment="1" applyProtection="1">
      <alignment vertical="center"/>
      <protection locked="0"/>
    </xf>
    <xf numFmtId="3" fontId="22" fillId="0" borderId="0" xfId="5" applyNumberFormat="1" applyFont="1" applyAlignment="1" applyProtection="1">
      <alignment vertical="center" wrapText="1"/>
      <protection locked="0"/>
    </xf>
    <xf numFmtId="0" fontId="24" fillId="22" borderId="84" xfId="5" applyFont="1" applyFill="1" applyBorder="1" applyAlignment="1" applyProtection="1">
      <alignment horizontal="right" vertical="center"/>
      <protection locked="0"/>
    </xf>
    <xf numFmtId="0" fontId="42" fillId="0" borderId="89" xfId="1" applyFont="1" applyBorder="1" applyProtection="1">
      <protection locked="0"/>
    </xf>
    <xf numFmtId="0" fontId="42" fillId="0" borderId="90" xfId="1" applyFont="1" applyBorder="1" applyAlignment="1" applyProtection="1">
      <alignment horizontal="right"/>
      <protection locked="0"/>
    </xf>
    <xf numFmtId="0" fontId="42" fillId="0" borderId="91" xfId="1" applyFont="1" applyBorder="1" applyProtection="1">
      <protection locked="0"/>
    </xf>
    <xf numFmtId="0" fontId="42" fillId="0" borderId="92" xfId="1" applyFont="1" applyBorder="1" applyAlignment="1" applyProtection="1">
      <alignment horizontal="right"/>
      <protection locked="0"/>
    </xf>
    <xf numFmtId="0" fontId="23" fillId="12" borderId="64" xfId="5" applyFont="1" applyFill="1" applyBorder="1" applyAlignment="1" applyProtection="1">
      <alignment vertical="center" wrapText="1"/>
      <protection locked="0"/>
    </xf>
    <xf numFmtId="171" fontId="18" fillId="0" borderId="72" xfId="5" applyNumberFormat="1" applyFont="1" applyBorder="1" applyAlignment="1" applyProtection="1">
      <alignment horizontal="right" vertical="center"/>
      <protection locked="0"/>
    </xf>
    <xf numFmtId="171" fontId="18" fillId="0" borderId="72" xfId="5" applyNumberFormat="1" applyFont="1" applyBorder="1" applyAlignment="1" applyProtection="1">
      <alignment vertical="center"/>
      <protection locked="0"/>
    </xf>
    <xf numFmtId="0" fontId="42" fillId="0" borderId="93" xfId="1" applyFont="1" applyBorder="1" applyProtection="1">
      <protection locked="0"/>
    </xf>
    <xf numFmtId="0" fontId="42" fillId="0" borderId="94" xfId="1" applyFont="1" applyBorder="1" applyAlignment="1" applyProtection="1">
      <alignment horizontal="right"/>
      <protection locked="0"/>
    </xf>
    <xf numFmtId="3" fontId="22" fillId="0" borderId="0" xfId="5" applyNumberFormat="1" applyFont="1" applyAlignment="1" applyProtection="1">
      <alignment vertical="center"/>
      <protection locked="0"/>
    </xf>
    <xf numFmtId="3" fontId="43" fillId="0" borderId="0" xfId="5" applyNumberFormat="1" applyFont="1" applyAlignment="1" applyProtection="1">
      <alignment vertical="center"/>
      <protection locked="0"/>
    </xf>
    <xf numFmtId="9" fontId="21" fillId="12" borderId="0" xfId="2" applyFont="1" applyFill="1" applyBorder="1" applyAlignment="1" applyProtection="1">
      <alignment horizontal="right" vertical="center"/>
      <protection locked="0"/>
    </xf>
    <xf numFmtId="3" fontId="18" fillId="12" borderId="0" xfId="5" applyNumberFormat="1" applyFont="1" applyFill="1" applyAlignment="1" applyProtection="1">
      <alignment vertical="center"/>
      <protection locked="0"/>
    </xf>
    <xf numFmtId="3" fontId="44" fillId="0" borderId="0" xfId="5" applyNumberFormat="1" applyFont="1" applyAlignment="1" applyProtection="1">
      <alignment vertical="center"/>
      <protection locked="0"/>
    </xf>
    <xf numFmtId="3" fontId="18" fillId="0" borderId="0" xfId="5" applyNumberFormat="1" applyFont="1" applyAlignment="1" applyProtection="1">
      <alignment horizontal="right" vertical="center"/>
      <protection locked="0"/>
    </xf>
    <xf numFmtId="1" fontId="18" fillId="12" borderId="0" xfId="5" applyNumberFormat="1" applyFont="1" applyFill="1" applyAlignment="1" applyProtection="1">
      <alignment horizontal="right" vertical="center"/>
      <protection locked="0"/>
    </xf>
    <xf numFmtId="0" fontId="18" fillId="12" borderId="68" xfId="5" applyFont="1" applyFill="1" applyBorder="1" applyAlignment="1" applyProtection="1">
      <alignment vertical="center"/>
      <protection locked="0"/>
    </xf>
    <xf numFmtId="10" fontId="18" fillId="0" borderId="10" xfId="5" applyNumberFormat="1" applyFont="1" applyBorder="1" applyAlignment="1" applyProtection="1">
      <alignment horizontal="center" vertical="center"/>
      <protection locked="0"/>
    </xf>
    <xf numFmtId="166" fontId="18" fillId="0" borderId="11" xfId="5" applyNumberFormat="1" applyFont="1" applyBorder="1" applyAlignment="1" applyProtection="1">
      <alignment vertical="center"/>
      <protection locked="0"/>
    </xf>
    <xf numFmtId="166" fontId="18" fillId="0" borderId="12" xfId="5" applyNumberFormat="1" applyFont="1" applyBorder="1" applyAlignment="1" applyProtection="1">
      <alignment vertical="center"/>
      <protection locked="0"/>
    </xf>
    <xf numFmtId="0" fontId="18" fillId="12" borderId="34" xfId="5" applyFont="1" applyFill="1" applyBorder="1" applyAlignment="1" applyProtection="1">
      <alignment vertical="center"/>
      <protection locked="0"/>
    </xf>
    <xf numFmtId="0" fontId="0" fillId="0" borderId="35" xfId="0" applyBorder="1" applyAlignment="1" applyProtection="1">
      <alignment vertical="top" wrapText="1"/>
      <protection locked="0"/>
    </xf>
    <xf numFmtId="0" fontId="0" fillId="0" borderId="36" xfId="0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2" fillId="0" borderId="3" xfId="0" applyFont="1" applyBorder="1" applyAlignment="1" applyProtection="1">
      <alignment vertical="top" wrapText="1"/>
      <protection locked="0"/>
    </xf>
    <xf numFmtId="0" fontId="2" fillId="0" borderId="6" xfId="0" applyFont="1" applyBorder="1" applyAlignment="1" applyProtection="1">
      <alignment vertical="top" wrapText="1"/>
      <protection locked="0"/>
    </xf>
    <xf numFmtId="0" fontId="2" fillId="0" borderId="12" xfId="0" applyFont="1" applyBorder="1" applyAlignment="1" applyProtection="1">
      <alignment vertical="top" wrapText="1"/>
      <protection locked="0"/>
    </xf>
    <xf numFmtId="0" fontId="2" fillId="0" borderId="105" xfId="0" applyFont="1" applyBorder="1" applyAlignment="1" applyProtection="1">
      <alignment vertical="top" wrapText="1"/>
      <protection locked="0"/>
    </xf>
    <xf numFmtId="0" fontId="2" fillId="0" borderId="18" xfId="0" applyFont="1" applyBorder="1" applyAlignment="1" applyProtection="1">
      <alignment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71" xfId="0" applyFont="1" applyBorder="1" applyAlignment="1" applyProtection="1">
      <alignment horizontal="left" vertical="top" wrapText="1"/>
      <protection locked="0"/>
    </xf>
    <xf numFmtId="0" fontId="2" fillId="0" borderId="105" xfId="0" applyFont="1" applyBorder="1" applyAlignment="1" applyProtection="1">
      <alignment horizontal="center" vertical="top" wrapText="1"/>
      <protection locked="0"/>
    </xf>
    <xf numFmtId="0" fontId="2" fillId="0" borderId="18" xfId="0" applyFont="1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09" xfId="0" applyFont="1" applyBorder="1" applyAlignment="1" applyProtection="1">
      <alignment horizontal="left" vertical="top" wrapText="1"/>
      <protection locked="0"/>
    </xf>
    <xf numFmtId="0" fontId="2" fillId="0" borderId="15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62" fillId="22" borderId="0" xfId="0" applyFont="1" applyFill="1" applyAlignment="1" applyProtection="1">
      <alignment horizontal="center" wrapText="1"/>
      <protection locked="0"/>
    </xf>
    <xf numFmtId="0" fontId="61" fillId="22" borderId="0" xfId="0" applyFont="1" applyFill="1" applyAlignment="1" applyProtection="1">
      <alignment wrapText="1"/>
      <protection locked="0"/>
    </xf>
    <xf numFmtId="0" fontId="2" fillId="0" borderId="4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top" wrapText="1"/>
      <protection locked="0"/>
    </xf>
    <xf numFmtId="0" fontId="2" fillId="0" borderId="10" xfId="0" applyFont="1" applyBorder="1" applyAlignment="1" applyProtection="1">
      <alignment vertical="top" wrapText="1"/>
      <protection locked="0"/>
    </xf>
    <xf numFmtId="0" fontId="2" fillId="0" borderId="5" xfId="0" applyFont="1" applyBorder="1" applyAlignment="1" applyProtection="1">
      <alignment vertical="top" wrapText="1"/>
      <protection locked="0"/>
    </xf>
    <xf numFmtId="0" fontId="2" fillId="0" borderId="8" xfId="0" applyFont="1" applyBorder="1" applyAlignment="1" applyProtection="1">
      <alignment vertical="top" wrapText="1"/>
      <protection locked="0"/>
    </xf>
    <xf numFmtId="0" fontId="2" fillId="0" borderId="11" xfId="0" applyFont="1" applyBorder="1" applyAlignment="1" applyProtection="1">
      <alignment vertical="top" wrapText="1"/>
      <protection locked="0"/>
    </xf>
    <xf numFmtId="0" fontId="2" fillId="0" borderId="52" xfId="0" applyFont="1" applyBorder="1" applyAlignment="1" applyProtection="1">
      <alignment vertical="top" wrapText="1"/>
      <protection locked="0"/>
    </xf>
    <xf numFmtId="0" fontId="2" fillId="0" borderId="69" xfId="0" applyFont="1" applyBorder="1" applyAlignment="1" applyProtection="1">
      <alignment vertical="top" wrapText="1"/>
      <protection locked="0"/>
    </xf>
    <xf numFmtId="0" fontId="2" fillId="0" borderId="58" xfId="0" applyFont="1" applyBorder="1" applyAlignment="1" applyProtection="1">
      <alignment vertical="top" wrapText="1"/>
      <protection locked="0"/>
    </xf>
    <xf numFmtId="0" fontId="2" fillId="0" borderId="70" xfId="0" applyFont="1" applyBorder="1" applyAlignment="1" applyProtection="1">
      <alignment vertical="top" wrapText="1"/>
      <protection locked="0"/>
    </xf>
    <xf numFmtId="0" fontId="11" fillId="0" borderId="0" xfId="11"/>
    <xf numFmtId="173" fontId="11" fillId="0" borderId="0" xfId="11" applyNumberFormat="1" applyProtection="1">
      <protection locked="0"/>
    </xf>
    <xf numFmtId="181" fontId="11" fillId="0" borderId="0" xfId="11" applyNumberFormat="1" applyProtection="1">
      <protection locked="0"/>
    </xf>
    <xf numFmtId="0" fontId="11" fillId="0" borderId="0" xfId="11" applyProtection="1">
      <protection locked="0"/>
    </xf>
    <xf numFmtId="0" fontId="51" fillId="26" borderId="0" xfId="11" applyFont="1" applyFill="1"/>
    <xf numFmtId="0" fontId="63" fillId="0" borderId="0" xfId="12"/>
    <xf numFmtId="0" fontId="66" fillId="32" borderId="0" xfId="12" applyFont="1" applyFill="1" applyAlignment="1">
      <alignment horizontal="center" vertical="center" wrapText="1"/>
    </xf>
    <xf numFmtId="0" fontId="68" fillId="34" borderId="118" xfId="12" applyFont="1" applyFill="1" applyBorder="1" applyAlignment="1">
      <alignment horizontal="center" vertical="center" wrapText="1"/>
    </xf>
    <xf numFmtId="0" fontId="69" fillId="35" borderId="118" xfId="12" applyFont="1" applyFill="1" applyBorder="1" applyAlignment="1">
      <alignment horizontal="left" vertical="center" wrapText="1"/>
    </xf>
    <xf numFmtId="185" fontId="70" fillId="31" borderId="118" xfId="12" applyNumberFormat="1" applyFont="1" applyFill="1" applyBorder="1" applyAlignment="1">
      <alignment horizontal="center" vertical="center" wrapText="1"/>
    </xf>
    <xf numFmtId="0" fontId="71" fillId="33" borderId="118" xfId="12" applyFont="1" applyFill="1" applyBorder="1" applyAlignment="1">
      <alignment horizontal="left" vertical="center" wrapText="1"/>
    </xf>
    <xf numFmtId="1" fontId="72" fillId="32" borderId="118" xfId="12" applyNumberFormat="1" applyFont="1" applyFill="1" applyBorder="1" applyAlignment="1">
      <alignment horizontal="center" vertical="center" wrapText="1"/>
    </xf>
    <xf numFmtId="2" fontId="72" fillId="36" borderId="118" xfId="12" applyNumberFormat="1" applyFont="1" applyFill="1" applyBorder="1" applyAlignment="1">
      <alignment horizontal="center" vertical="center" wrapText="1"/>
    </xf>
    <xf numFmtId="2" fontId="70" fillId="31" borderId="118" xfId="12" applyNumberFormat="1" applyFont="1" applyFill="1" applyBorder="1" applyAlignment="1">
      <alignment horizontal="center" vertical="center" wrapText="1"/>
    </xf>
    <xf numFmtId="0" fontId="71" fillId="37" borderId="118" xfId="12" applyFont="1" applyFill="1" applyBorder="1" applyAlignment="1">
      <alignment horizontal="left" vertical="center" wrapText="1"/>
    </xf>
    <xf numFmtId="0" fontId="73" fillId="35" borderId="118" xfId="12" applyFont="1" applyFill="1" applyBorder="1" applyAlignment="1">
      <alignment horizontal="left" vertical="center" wrapText="1"/>
    </xf>
    <xf numFmtId="9" fontId="72" fillId="32" borderId="118" xfId="13" applyFont="1" applyFill="1" applyBorder="1" applyAlignment="1">
      <alignment horizontal="center" vertical="center" wrapText="1"/>
    </xf>
    <xf numFmtId="186" fontId="75" fillId="32" borderId="118" xfId="12" applyNumberFormat="1" applyFont="1" applyFill="1" applyBorder="1" applyAlignment="1">
      <alignment horizontal="center" vertical="center" wrapText="1"/>
    </xf>
    <xf numFmtId="0" fontId="76" fillId="34" borderId="118" xfId="12" applyFont="1" applyFill="1" applyBorder="1" applyAlignment="1">
      <alignment horizontal="center" vertical="center" wrapText="1"/>
    </xf>
    <xf numFmtId="0" fontId="68" fillId="0" borderId="118" xfId="12" applyFont="1" applyBorder="1" applyAlignment="1">
      <alignment horizontal="center" vertical="center" wrapText="1"/>
    </xf>
    <xf numFmtId="0" fontId="70" fillId="31" borderId="118" xfId="12" applyFont="1" applyFill="1" applyBorder="1" applyAlignment="1">
      <alignment horizontal="center" vertical="center" wrapText="1"/>
    </xf>
    <xf numFmtId="0" fontId="71" fillId="0" borderId="118" xfId="12" applyFont="1" applyBorder="1" applyAlignment="1">
      <alignment horizontal="left" vertical="center" wrapText="1"/>
    </xf>
    <xf numFmtId="0" fontId="77" fillId="35" borderId="118" xfId="12" applyFont="1" applyFill="1" applyBorder="1" applyAlignment="1">
      <alignment horizontal="left" vertical="center" wrapText="1"/>
    </xf>
    <xf numFmtId="0" fontId="78" fillId="35" borderId="118" xfId="12" applyFont="1" applyFill="1" applyBorder="1" applyAlignment="1">
      <alignment horizontal="left" vertical="center" wrapText="1"/>
    </xf>
    <xf numFmtId="0" fontId="79" fillId="32" borderId="118" xfId="12" applyFont="1" applyFill="1" applyBorder="1" applyAlignment="1">
      <alignment horizontal="center" vertical="center" wrapText="1"/>
    </xf>
    <xf numFmtId="187" fontId="70" fillId="31" borderId="118" xfId="12" applyNumberFormat="1" applyFont="1" applyFill="1" applyBorder="1" applyAlignment="1">
      <alignment horizontal="center" vertical="center" wrapText="1"/>
    </xf>
    <xf numFmtId="0" fontId="63" fillId="0" borderId="119" xfId="12" applyBorder="1"/>
    <xf numFmtId="2" fontId="63" fillId="0" borderId="0" xfId="12" applyNumberFormat="1"/>
    <xf numFmtId="2" fontId="72" fillId="32" borderId="118" xfId="12" applyNumberFormat="1" applyFont="1" applyFill="1" applyBorder="1" applyAlignment="1">
      <alignment horizontal="right" vertical="center" wrapText="1"/>
    </xf>
    <xf numFmtId="0" fontId="69" fillId="39" borderId="118" xfId="12" applyFont="1" applyFill="1" applyBorder="1" applyAlignment="1">
      <alignment horizontal="right" vertical="center" wrapText="1"/>
    </xf>
    <xf numFmtId="0" fontId="81" fillId="31" borderId="118" xfId="12" applyFont="1" applyFill="1" applyBorder="1" applyAlignment="1">
      <alignment horizontal="center" vertical="center" wrapText="1"/>
    </xf>
    <xf numFmtId="0" fontId="68" fillId="34" borderId="120" xfId="12" applyFont="1" applyFill="1" applyBorder="1" applyAlignment="1">
      <alignment horizontal="center" vertical="center" wrapText="1"/>
    </xf>
    <xf numFmtId="0" fontId="68" fillId="34" borderId="121" xfId="12" applyFont="1" applyFill="1" applyBorder="1" applyAlignment="1">
      <alignment horizontal="center" vertical="center" wrapText="1"/>
    </xf>
    <xf numFmtId="1" fontId="70" fillId="31" borderId="118" xfId="12" applyNumberFormat="1" applyFont="1" applyFill="1" applyBorder="1" applyAlignment="1">
      <alignment horizontal="center" vertical="center" wrapText="1"/>
    </xf>
    <xf numFmtId="3" fontId="72" fillId="32" borderId="120" xfId="12" applyNumberFormat="1" applyFont="1" applyFill="1" applyBorder="1" applyAlignment="1">
      <alignment horizontal="right" vertical="center" wrapText="1"/>
    </xf>
    <xf numFmtId="1" fontId="70" fillId="31" borderId="121" xfId="12" applyNumberFormat="1" applyFont="1" applyFill="1" applyBorder="1" applyAlignment="1">
      <alignment horizontal="center" vertical="center" wrapText="1"/>
    </xf>
    <xf numFmtId="3" fontId="72" fillId="32" borderId="122" xfId="12" applyNumberFormat="1" applyFont="1" applyFill="1" applyBorder="1" applyAlignment="1">
      <alignment horizontal="right" vertical="center" wrapText="1"/>
    </xf>
    <xf numFmtId="1" fontId="70" fillId="31" borderId="123" xfId="12" applyNumberFormat="1" applyFont="1" applyFill="1" applyBorder="1" applyAlignment="1">
      <alignment horizontal="center" vertical="center" wrapText="1"/>
    </xf>
    <xf numFmtId="2" fontId="70" fillId="32" borderId="118" xfId="12" applyNumberFormat="1" applyFont="1" applyFill="1" applyBorder="1" applyAlignment="1">
      <alignment horizontal="right" vertical="center" wrapText="1"/>
    </xf>
    <xf numFmtId="3" fontId="73" fillId="32" borderId="118" xfId="12" applyNumberFormat="1" applyFont="1" applyFill="1" applyBorder="1" applyAlignment="1">
      <alignment horizontal="right" vertical="center" wrapText="1"/>
    </xf>
    <xf numFmtId="3" fontId="82" fillId="32" borderId="118" xfId="12" applyNumberFormat="1" applyFont="1" applyFill="1" applyBorder="1" applyAlignment="1">
      <alignment horizontal="right" vertical="center" wrapText="1"/>
    </xf>
    <xf numFmtId="188" fontId="82" fillId="32" borderId="118" xfId="12" applyNumberFormat="1" applyFont="1" applyFill="1" applyBorder="1" applyAlignment="1">
      <alignment horizontal="right" vertical="center" wrapText="1"/>
    </xf>
    <xf numFmtId="0" fontId="78" fillId="35" borderId="0" xfId="12" applyFont="1" applyFill="1" applyAlignment="1">
      <alignment horizontal="left" vertical="center" wrapText="1"/>
    </xf>
    <xf numFmtId="0" fontId="68" fillId="41" borderId="118" xfId="12" applyFont="1" applyFill="1" applyBorder="1" applyAlignment="1">
      <alignment horizontal="center" vertical="center" wrapText="1"/>
    </xf>
    <xf numFmtId="0" fontId="69" fillId="42" borderId="118" xfId="12" applyFont="1" applyFill="1" applyBorder="1" applyAlignment="1">
      <alignment horizontal="left" vertical="center" wrapText="1"/>
    </xf>
    <xf numFmtId="188" fontId="69" fillId="42" borderId="118" xfId="12" applyNumberFormat="1" applyFont="1" applyFill="1" applyBorder="1" applyAlignment="1">
      <alignment horizontal="right" vertical="center" wrapText="1"/>
    </xf>
    <xf numFmtId="187" fontId="69" fillId="42" borderId="118" xfId="12" applyNumberFormat="1" applyFont="1" applyFill="1" applyBorder="1" applyAlignment="1">
      <alignment horizontal="right" vertical="center" wrapText="1"/>
    </xf>
    <xf numFmtId="183" fontId="69" fillId="42" borderId="118" xfId="12" applyNumberFormat="1" applyFont="1" applyFill="1" applyBorder="1" applyAlignment="1">
      <alignment horizontal="right" vertical="center" wrapText="1"/>
    </xf>
    <xf numFmtId="0" fontId="69" fillId="42" borderId="118" xfId="12" applyFont="1" applyFill="1" applyBorder="1" applyAlignment="1">
      <alignment horizontal="right" vertical="center" wrapText="1"/>
    </xf>
    <xf numFmtId="166" fontId="31" fillId="14" borderId="7" xfId="5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left" vertical="top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170" fontId="23" fillId="16" borderId="37" xfId="8" applyFont="1" applyFill="1" applyBorder="1" applyAlignment="1" applyProtection="1">
      <alignment horizontal="center" vertical="center"/>
    </xf>
    <xf numFmtId="170" fontId="23" fillId="16" borderId="23" xfId="8" applyFont="1" applyFill="1" applyBorder="1" applyAlignment="1" applyProtection="1">
      <alignment horizontal="center" vertical="center"/>
    </xf>
    <xf numFmtId="170" fontId="23" fillId="16" borderId="24" xfId="8" applyFont="1" applyFill="1" applyBorder="1" applyAlignment="1" applyProtection="1">
      <alignment horizontal="center" vertical="center"/>
    </xf>
    <xf numFmtId="0" fontId="19" fillId="0" borderId="0" xfId="5" applyFont="1" applyAlignment="1">
      <alignment horizontal="center" vertical="center" wrapText="1"/>
    </xf>
    <xf numFmtId="0" fontId="68" fillId="30" borderId="0" xfId="12" applyFont="1" applyFill="1" applyAlignment="1">
      <alignment horizontal="left" vertical="center"/>
    </xf>
    <xf numFmtId="0" fontId="68" fillId="34" borderId="0" xfId="12" applyFont="1" applyFill="1" applyAlignment="1">
      <alignment horizontal="left" vertical="center"/>
    </xf>
    <xf numFmtId="0" fontId="68" fillId="34" borderId="0" xfId="12" applyFont="1" applyFill="1" applyAlignment="1">
      <alignment horizontal="left" vertical="center" wrapText="1"/>
    </xf>
    <xf numFmtId="0" fontId="76" fillId="34" borderId="0" xfId="12" applyFont="1" applyFill="1" applyAlignment="1">
      <alignment horizontal="left" vertical="center" wrapText="1"/>
    </xf>
    <xf numFmtId="0" fontId="73" fillId="33" borderId="0" xfId="12" applyFont="1" applyFill="1" applyAlignment="1">
      <alignment horizontal="left" vertical="center" wrapText="1"/>
    </xf>
    <xf numFmtId="0" fontId="68" fillId="30" borderId="0" xfId="12" applyFont="1" applyFill="1" applyAlignment="1">
      <alignment horizontal="left" vertical="center" wrapText="1"/>
    </xf>
    <xf numFmtId="0" fontId="80" fillId="40" borderId="124" xfId="12" applyFont="1" applyFill="1" applyBorder="1" applyAlignment="1">
      <alignment horizontal="center" vertical="center" wrapText="1"/>
    </xf>
    <xf numFmtId="0" fontId="80" fillId="38" borderId="0" xfId="12" applyFont="1" applyFill="1" applyAlignment="1">
      <alignment horizontal="center" vertical="center" wrapText="1"/>
    </xf>
    <xf numFmtId="0" fontId="64" fillId="30" borderId="0" xfId="12" applyFont="1" applyFill="1" applyAlignment="1">
      <alignment horizontal="center" vertical="center" wrapText="1"/>
    </xf>
    <xf numFmtId="0" fontId="65" fillId="31" borderId="0" xfId="12" applyFont="1" applyFill="1" applyAlignment="1">
      <alignment horizontal="center" vertical="center" wrapText="1"/>
    </xf>
    <xf numFmtId="0" fontId="67" fillId="33" borderId="117" xfId="12" applyFont="1" applyFill="1" applyBorder="1" applyAlignment="1">
      <alignment horizontal="center" vertical="center" wrapText="1"/>
    </xf>
    <xf numFmtId="0" fontId="31" fillId="0" borderId="20" xfId="5" applyFont="1" applyBorder="1" applyAlignment="1">
      <alignment horizontal="center" vertical="center" wrapText="1"/>
    </xf>
    <xf numFmtId="0" fontId="31" fillId="0" borderId="21" xfId="5" applyFont="1" applyBorder="1" applyAlignment="1">
      <alignment horizontal="center" vertical="center" wrapText="1"/>
    </xf>
    <xf numFmtId="0" fontId="31" fillId="0" borderId="31" xfId="5" applyFont="1" applyBorder="1" applyAlignment="1">
      <alignment horizontal="center" vertical="center" wrapText="1"/>
    </xf>
    <xf numFmtId="0" fontId="31" fillId="0" borderId="17" xfId="5" applyFont="1" applyBorder="1" applyAlignment="1">
      <alignment horizontal="center" vertical="center" wrapText="1"/>
    </xf>
    <xf numFmtId="0" fontId="31" fillId="0" borderId="0" xfId="5" applyFont="1" applyAlignment="1">
      <alignment horizontal="center" vertical="center" wrapText="1"/>
    </xf>
    <xf numFmtId="0" fontId="31" fillId="0" borderId="15" xfId="5" applyFont="1" applyBorder="1" applyAlignment="1">
      <alignment horizontal="center" vertical="center" wrapText="1"/>
    </xf>
    <xf numFmtId="0" fontId="31" fillId="0" borderId="48" xfId="5" applyFont="1" applyBorder="1" applyAlignment="1">
      <alignment horizontal="center" vertical="center" wrapText="1"/>
    </xf>
    <xf numFmtId="0" fontId="31" fillId="0" borderId="32" xfId="5" applyFont="1" applyBorder="1" applyAlignment="1">
      <alignment horizontal="center" vertical="center" wrapText="1"/>
    </xf>
    <xf numFmtId="0" fontId="31" fillId="0" borderId="49" xfId="5" applyFont="1" applyBorder="1" applyAlignment="1">
      <alignment horizontal="center" vertical="center" wrapText="1"/>
    </xf>
    <xf numFmtId="0" fontId="31" fillId="10" borderId="4" xfId="5" applyFont="1" applyFill="1" applyBorder="1" applyAlignment="1" applyProtection="1">
      <alignment horizontal="right" vertical="center" wrapText="1"/>
      <protection locked="0"/>
    </xf>
    <xf numFmtId="0" fontId="31" fillId="10" borderId="5" xfId="5" applyFont="1" applyFill="1" applyBorder="1" applyAlignment="1" applyProtection="1">
      <alignment horizontal="right" vertical="center" wrapText="1"/>
      <protection locked="0"/>
    </xf>
    <xf numFmtId="0" fontId="31" fillId="10" borderId="14" xfId="5" applyFont="1" applyFill="1" applyBorder="1" applyAlignment="1" applyProtection="1">
      <alignment horizontal="right" vertical="center" wrapText="1"/>
      <protection locked="0"/>
    </xf>
    <xf numFmtId="0" fontId="31" fillId="12" borderId="8" xfId="5" applyFont="1" applyFill="1" applyBorder="1" applyAlignment="1" applyProtection="1">
      <alignment horizontal="right" vertical="center" wrapText="1"/>
      <protection locked="0"/>
    </xf>
    <xf numFmtId="0" fontId="31" fillId="12" borderId="37" xfId="5" applyFont="1" applyFill="1" applyBorder="1" applyAlignment="1" applyProtection="1">
      <alignment horizontal="right" vertical="center" wrapText="1"/>
      <protection locked="0"/>
    </xf>
    <xf numFmtId="0" fontId="29" fillId="11" borderId="2" xfId="5" quotePrefix="1" applyFont="1" applyFill="1" applyBorder="1" applyAlignment="1">
      <alignment horizontal="left" vertical="center" wrapText="1"/>
    </xf>
    <xf numFmtId="0" fontId="29" fillId="11" borderId="2" xfId="5" applyFont="1" applyFill="1" applyBorder="1" applyAlignment="1">
      <alignment horizontal="left" vertical="center" wrapText="1"/>
    </xf>
    <xf numFmtId="0" fontId="29" fillId="11" borderId="39" xfId="5" applyFont="1" applyFill="1" applyBorder="1" applyAlignment="1">
      <alignment horizontal="left" vertical="center" wrapText="1"/>
    </xf>
    <xf numFmtId="0" fontId="31" fillId="12" borderId="54" xfId="5" applyFont="1" applyFill="1" applyBorder="1" applyAlignment="1" applyProtection="1">
      <alignment horizontal="right" vertical="center" wrapText="1"/>
      <protection locked="0"/>
    </xf>
    <xf numFmtId="0" fontId="31" fillId="12" borderId="27" xfId="5" applyFont="1" applyFill="1" applyBorder="1" applyAlignment="1" applyProtection="1">
      <alignment horizontal="right" vertical="center" wrapText="1"/>
      <protection locked="0"/>
    </xf>
    <xf numFmtId="0" fontId="31" fillId="0" borderId="4" xfId="5" applyFont="1" applyBorder="1" applyAlignment="1" applyProtection="1">
      <alignment horizontal="right" vertical="center" wrapText="1"/>
      <protection locked="0"/>
    </xf>
    <xf numFmtId="0" fontId="31" fillId="0" borderId="5" xfId="5" applyFont="1" applyBorder="1" applyAlignment="1" applyProtection="1">
      <alignment horizontal="right" vertical="center" wrapText="1"/>
      <protection locked="0"/>
    </xf>
    <xf numFmtId="0" fontId="31" fillId="0" borderId="14" xfId="5" applyFont="1" applyBorder="1" applyAlignment="1" applyProtection="1">
      <alignment horizontal="right" vertical="center" wrapText="1"/>
      <protection locked="0"/>
    </xf>
    <xf numFmtId="0" fontId="31" fillId="12" borderId="125" xfId="5" applyFont="1" applyFill="1" applyBorder="1" applyAlignment="1" applyProtection="1">
      <alignment horizontal="right" vertical="center" wrapText="1"/>
      <protection locked="0"/>
    </xf>
    <xf numFmtId="0" fontId="29" fillId="0" borderId="0" xfId="5" applyFont="1" applyAlignment="1" applyProtection="1">
      <alignment horizontal="left" vertical="center" wrapText="1"/>
      <protection locked="0"/>
    </xf>
    <xf numFmtId="0" fontId="31" fillId="12" borderId="23" xfId="5" applyFont="1" applyFill="1" applyBorder="1" applyAlignment="1" applyProtection="1">
      <alignment horizontal="right" vertical="center" wrapText="1"/>
      <protection locked="0"/>
    </xf>
    <xf numFmtId="0" fontId="31" fillId="12" borderId="7" xfId="5" applyFont="1" applyFill="1" applyBorder="1" applyAlignment="1" applyProtection="1">
      <alignment horizontal="right" vertical="center" wrapText="1"/>
      <protection locked="0"/>
    </xf>
    <xf numFmtId="0" fontId="29" fillId="6" borderId="8" xfId="5" quotePrefix="1" applyFont="1" applyFill="1" applyBorder="1" applyAlignment="1">
      <alignment horizontal="left" vertical="center" wrapText="1"/>
    </xf>
    <xf numFmtId="0" fontId="29" fillId="6" borderId="37" xfId="5" quotePrefix="1" applyFont="1" applyFill="1" applyBorder="1" applyAlignment="1">
      <alignment horizontal="left" vertical="center" wrapText="1"/>
    </xf>
    <xf numFmtId="0" fontId="31" fillId="12" borderId="8" xfId="5" quotePrefix="1" applyFont="1" applyFill="1" applyBorder="1" applyAlignment="1" applyProtection="1">
      <alignment horizontal="right" vertical="center" wrapText="1"/>
      <protection locked="0"/>
    </xf>
    <xf numFmtId="0" fontId="31" fillId="12" borderId="37" xfId="5" quotePrefix="1" applyFont="1" applyFill="1" applyBorder="1" applyAlignment="1" applyProtection="1">
      <alignment horizontal="right" vertical="center" wrapText="1"/>
      <protection locked="0"/>
    </xf>
    <xf numFmtId="0" fontId="29" fillId="6" borderId="8" xfId="5" applyFont="1" applyFill="1" applyBorder="1" applyAlignment="1">
      <alignment horizontal="left" vertical="center" wrapText="1"/>
    </xf>
    <xf numFmtId="0" fontId="29" fillId="6" borderId="37" xfId="5" applyFont="1" applyFill="1" applyBorder="1" applyAlignment="1">
      <alignment horizontal="left" vertical="center" wrapText="1"/>
    </xf>
    <xf numFmtId="0" fontId="31" fillId="12" borderId="46" xfId="5" applyFont="1" applyFill="1" applyBorder="1" applyAlignment="1" applyProtection="1">
      <alignment horizontal="right" vertical="center" wrapText="1"/>
      <protection locked="0"/>
    </xf>
    <xf numFmtId="0" fontId="31" fillId="12" borderId="47" xfId="5" applyFont="1" applyFill="1" applyBorder="1" applyAlignment="1" applyProtection="1">
      <alignment horizontal="right" vertical="center" wrapText="1"/>
      <protection locked="0"/>
    </xf>
    <xf numFmtId="0" fontId="31" fillId="12" borderId="38" xfId="5" quotePrefix="1" applyFont="1" applyFill="1" applyBorder="1" applyAlignment="1" applyProtection="1">
      <alignment horizontal="left" vertical="center" wrapText="1"/>
      <protection locked="0"/>
    </xf>
    <xf numFmtId="0" fontId="31" fillId="12" borderId="41" xfId="5" quotePrefix="1" applyFont="1" applyFill="1" applyBorder="1" applyAlignment="1" applyProtection="1">
      <alignment horizontal="left" vertical="center" wrapText="1"/>
      <protection locked="0"/>
    </xf>
    <xf numFmtId="0" fontId="29" fillId="6" borderId="23" xfId="5" quotePrefix="1" applyFont="1" applyFill="1" applyBorder="1" applyAlignment="1">
      <alignment horizontal="left" vertical="center" wrapText="1"/>
    </xf>
    <xf numFmtId="0" fontId="21" fillId="14" borderId="8" xfId="5" applyFont="1" applyFill="1" applyBorder="1" applyAlignment="1">
      <alignment horizontal="center" vertical="center"/>
    </xf>
    <xf numFmtId="0" fontId="52" fillId="25" borderId="34" xfId="5" applyFont="1" applyFill="1" applyBorder="1" applyAlignment="1" applyProtection="1">
      <alignment horizontal="center" vertical="center" wrapText="1"/>
      <protection locked="0"/>
    </xf>
    <xf numFmtId="0" fontId="52" fillId="25" borderId="35" xfId="5" applyFont="1" applyFill="1" applyBorder="1" applyAlignment="1" applyProtection="1">
      <alignment horizontal="center" vertical="center" wrapText="1"/>
      <protection locked="0"/>
    </xf>
    <xf numFmtId="0" fontId="52" fillId="25" borderId="36" xfId="5" applyFont="1" applyFill="1" applyBorder="1" applyAlignment="1" applyProtection="1">
      <alignment horizontal="center" vertical="center" wrapText="1"/>
      <protection locked="0"/>
    </xf>
    <xf numFmtId="0" fontId="29" fillId="11" borderId="20" xfId="5" applyFont="1" applyFill="1" applyBorder="1" applyAlignment="1">
      <alignment horizontal="center" vertical="center"/>
    </xf>
    <xf numFmtId="0" fontId="29" fillId="11" borderId="21" xfId="5" applyFont="1" applyFill="1" applyBorder="1" applyAlignment="1">
      <alignment horizontal="center" vertical="center"/>
    </xf>
    <xf numFmtId="0" fontId="29" fillId="11" borderId="31" xfId="5" applyFont="1" applyFill="1" applyBorder="1" applyAlignment="1">
      <alignment horizontal="center" vertical="center"/>
    </xf>
    <xf numFmtId="0" fontId="29" fillId="11" borderId="48" xfId="5" applyFont="1" applyFill="1" applyBorder="1" applyAlignment="1">
      <alignment horizontal="center" vertical="center"/>
    </xf>
    <xf numFmtId="0" fontId="29" fillId="11" borderId="32" xfId="5" applyFont="1" applyFill="1" applyBorder="1" applyAlignment="1">
      <alignment horizontal="center" vertical="center"/>
    </xf>
    <xf numFmtId="0" fontId="29" fillId="11" borderId="49" xfId="5" applyFont="1" applyFill="1" applyBorder="1" applyAlignment="1">
      <alignment horizontal="center" vertical="center"/>
    </xf>
    <xf numFmtId="0" fontId="29" fillId="12" borderId="2" xfId="5" applyFont="1" applyFill="1" applyBorder="1" applyAlignment="1" applyProtection="1">
      <alignment horizontal="center" vertical="center"/>
      <protection locked="0"/>
    </xf>
    <xf numFmtId="0" fontId="29" fillId="12" borderId="39" xfId="5" applyFont="1" applyFill="1" applyBorder="1" applyAlignment="1" applyProtection="1">
      <alignment horizontal="center" vertical="center"/>
      <protection locked="0"/>
    </xf>
    <xf numFmtId="0" fontId="21" fillId="0" borderId="34" xfId="5" applyFont="1" applyBorder="1" applyAlignment="1" applyProtection="1">
      <alignment horizontal="center" vertical="center"/>
      <protection locked="0"/>
    </xf>
    <xf numFmtId="0" fontId="21" fillId="0" borderId="35" xfId="5" applyFont="1" applyBorder="1" applyAlignment="1" applyProtection="1">
      <alignment horizontal="center" vertical="center"/>
      <protection locked="0"/>
    </xf>
    <xf numFmtId="0" fontId="21" fillId="0" borderId="36" xfId="5" applyFont="1" applyBorder="1" applyAlignment="1" applyProtection="1">
      <alignment horizontal="center" vertical="center"/>
      <protection locked="0"/>
    </xf>
    <xf numFmtId="166" fontId="29" fillId="0" borderId="35" xfId="5" applyNumberFormat="1" applyFont="1" applyBorder="1" applyAlignment="1" applyProtection="1">
      <alignment horizontal="center" vertical="center"/>
      <protection locked="0"/>
    </xf>
    <xf numFmtId="166" fontId="29" fillId="0" borderId="36" xfId="5" applyNumberFormat="1" applyFont="1" applyBorder="1" applyAlignment="1" applyProtection="1">
      <alignment horizontal="center" vertical="center"/>
      <protection locked="0"/>
    </xf>
    <xf numFmtId="0" fontId="47" fillId="16" borderId="46" xfId="0" applyFont="1" applyFill="1" applyBorder="1" applyAlignment="1">
      <alignment horizontal="center" wrapText="1"/>
    </xf>
    <xf numFmtId="0" fontId="47" fillId="16" borderId="38" xfId="0" applyFont="1" applyFill="1" applyBorder="1" applyAlignment="1">
      <alignment horizontal="center" wrapText="1"/>
    </xf>
    <xf numFmtId="0" fontId="47" fillId="16" borderId="47" xfId="0" applyFont="1" applyFill="1" applyBorder="1" applyAlignment="1">
      <alignment horizontal="center" vertical="center"/>
    </xf>
    <xf numFmtId="0" fontId="47" fillId="16" borderId="44" xfId="0" applyFont="1" applyFill="1" applyBorder="1" applyAlignment="1">
      <alignment horizontal="center" vertical="center"/>
    </xf>
    <xf numFmtId="0" fontId="47" fillId="16" borderId="41" xfId="0" applyFont="1" applyFill="1" applyBorder="1" applyAlignment="1">
      <alignment horizontal="center" vertical="center"/>
    </xf>
    <xf numFmtId="0" fontId="47" fillId="16" borderId="55" xfId="0" applyFont="1" applyFill="1" applyBorder="1" applyAlignment="1">
      <alignment horizontal="center" vertical="center"/>
    </xf>
    <xf numFmtId="0" fontId="47" fillId="16" borderId="8" xfId="0" applyFont="1" applyFill="1" applyBorder="1" applyAlignment="1">
      <alignment horizontal="center" wrapText="1"/>
    </xf>
    <xf numFmtId="0" fontId="48" fillId="16" borderId="56" xfId="0" applyFont="1" applyFill="1" applyBorder="1" applyAlignment="1">
      <alignment horizontal="center"/>
    </xf>
    <xf numFmtId="0" fontId="47" fillId="16" borderId="0" xfId="0" applyFont="1" applyFill="1" applyAlignment="1">
      <alignment horizontal="center"/>
    </xf>
    <xf numFmtId="0" fontId="48" fillId="16" borderId="17" xfId="0" applyFont="1" applyFill="1" applyBorder="1" applyAlignment="1">
      <alignment horizontal="center"/>
    </xf>
    <xf numFmtId="0" fontId="48" fillId="16" borderId="0" xfId="0" applyFont="1" applyFill="1" applyAlignment="1">
      <alignment horizontal="center"/>
    </xf>
    <xf numFmtId="0" fontId="48" fillId="16" borderId="57" xfId="0" applyFont="1" applyFill="1" applyBorder="1" applyAlignment="1">
      <alignment horizontal="center"/>
    </xf>
    <xf numFmtId="0" fontId="48" fillId="16" borderId="15" xfId="0" applyFont="1" applyFill="1" applyBorder="1" applyAlignment="1">
      <alignment horizontal="center"/>
    </xf>
    <xf numFmtId="0" fontId="47" fillId="14" borderId="8" xfId="0" applyFont="1" applyFill="1" applyBorder="1" applyAlignment="1">
      <alignment horizontal="center" wrapText="1"/>
    </xf>
    <xf numFmtId="0" fontId="47" fillId="14" borderId="8" xfId="0" applyFont="1" applyFill="1" applyBorder="1" applyAlignment="1">
      <alignment horizontal="center"/>
    </xf>
    <xf numFmtId="0" fontId="50" fillId="6" borderId="0" xfId="0" applyFont="1" applyFill="1" applyAlignment="1">
      <alignment horizontal="center" vertical="center"/>
    </xf>
    <xf numFmtId="0" fontId="50" fillId="6" borderId="115" xfId="0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 wrapText="1"/>
      <protection locked="0"/>
    </xf>
    <xf numFmtId="0" fontId="47" fillId="0" borderId="107" xfId="0" applyFont="1" applyBorder="1" applyAlignment="1" applyProtection="1">
      <alignment horizontal="center" vertical="center" wrapText="1"/>
      <protection locked="0"/>
    </xf>
    <xf numFmtId="0" fontId="47" fillId="0" borderId="108" xfId="0" applyFont="1" applyBorder="1" applyAlignment="1" applyProtection="1">
      <alignment horizontal="center" vertical="center" wrapText="1"/>
      <protection locked="0"/>
    </xf>
    <xf numFmtId="0" fontId="48" fillId="17" borderId="0" xfId="0" applyFont="1" applyFill="1" applyAlignment="1">
      <alignment horizontal="center"/>
    </xf>
    <xf numFmtId="0" fontId="14" fillId="17" borderId="17" xfId="0" applyFont="1" applyFill="1" applyBorder="1" applyAlignment="1">
      <alignment horizontal="center"/>
    </xf>
    <xf numFmtId="0" fontId="14" fillId="17" borderId="0" xfId="0" applyFont="1" applyFill="1" applyAlignment="1">
      <alignment horizontal="center"/>
    </xf>
    <xf numFmtId="0" fontId="14" fillId="0" borderId="0" xfId="0" applyFont="1" applyAlignment="1" applyProtection="1">
      <alignment horizontal="center"/>
      <protection locked="0"/>
    </xf>
    <xf numFmtId="0" fontId="56" fillId="0" borderId="8" xfId="0" applyFont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45" fillId="6" borderId="34" xfId="7" applyFont="1" applyFill="1" applyBorder="1" applyAlignment="1">
      <alignment horizontal="center" vertical="center"/>
    </xf>
    <xf numFmtId="0" fontId="45" fillId="6" borderId="35" xfId="7" applyFont="1" applyFill="1" applyBorder="1" applyAlignment="1">
      <alignment horizontal="center" vertical="center"/>
    </xf>
    <xf numFmtId="0" fontId="45" fillId="6" borderId="36" xfId="7" applyFont="1" applyFill="1" applyBorder="1" applyAlignment="1">
      <alignment horizontal="center" vertical="center"/>
    </xf>
    <xf numFmtId="3" fontId="36" fillId="19" borderId="34" xfId="5" applyNumberFormat="1" applyFont="1" applyFill="1" applyBorder="1" applyAlignment="1">
      <alignment horizontal="center" vertical="center"/>
    </xf>
    <xf numFmtId="3" fontId="36" fillId="19" borderId="35" xfId="5" applyNumberFormat="1" applyFont="1" applyFill="1" applyBorder="1" applyAlignment="1">
      <alignment horizontal="center" vertical="center"/>
    </xf>
    <xf numFmtId="3" fontId="36" fillId="19" borderId="36" xfId="5" applyNumberFormat="1" applyFont="1" applyFill="1" applyBorder="1" applyAlignment="1">
      <alignment horizontal="center" vertical="center"/>
    </xf>
    <xf numFmtId="0" fontId="21" fillId="21" borderId="34" xfId="5" applyFont="1" applyFill="1" applyBorder="1" applyAlignment="1">
      <alignment horizontal="center" vertical="center"/>
    </xf>
    <xf numFmtId="0" fontId="21" fillId="21" borderId="36" xfId="5" applyFont="1" applyFill="1" applyBorder="1" applyAlignment="1">
      <alignment horizontal="center" vertical="center"/>
    </xf>
    <xf numFmtId="0" fontId="18" fillId="14" borderId="4" xfId="5" applyFont="1" applyFill="1" applyBorder="1" applyAlignment="1">
      <alignment horizontal="center" vertical="center" wrapText="1"/>
    </xf>
    <xf numFmtId="0" fontId="18" fillId="14" borderId="5" xfId="5" applyFont="1" applyFill="1" applyBorder="1" applyAlignment="1">
      <alignment horizontal="center" vertical="center" wrapText="1"/>
    </xf>
    <xf numFmtId="0" fontId="18" fillId="14" borderId="7" xfId="5" applyFont="1" applyFill="1" applyBorder="1" applyAlignment="1">
      <alignment horizontal="center" vertical="center" wrapText="1"/>
    </xf>
    <xf numFmtId="0" fontId="18" fillId="14" borderId="8" xfId="5" applyFont="1" applyFill="1" applyBorder="1" applyAlignment="1">
      <alignment horizontal="center" vertical="center" wrapText="1"/>
    </xf>
    <xf numFmtId="171" fontId="18" fillId="14" borderId="5" xfId="5" applyNumberFormat="1" applyFont="1" applyFill="1" applyBorder="1" applyAlignment="1">
      <alignment horizontal="center" vertical="center"/>
    </xf>
    <xf numFmtId="171" fontId="18" fillId="14" borderId="8" xfId="5" applyNumberFormat="1" applyFont="1" applyFill="1" applyBorder="1" applyAlignment="1">
      <alignment horizontal="center" vertical="center"/>
    </xf>
    <xf numFmtId="10" fontId="18" fillId="14" borderId="6" xfId="2" applyNumberFormat="1" applyFont="1" applyFill="1" applyBorder="1" applyAlignment="1" applyProtection="1">
      <alignment horizontal="center" vertical="center"/>
    </xf>
    <xf numFmtId="10" fontId="18" fillId="14" borderId="9" xfId="2" applyNumberFormat="1" applyFont="1" applyFill="1" applyBorder="1" applyAlignment="1" applyProtection="1">
      <alignment horizontal="center" vertical="center"/>
    </xf>
    <xf numFmtId="0" fontId="42" fillId="0" borderId="99" xfId="1" applyFont="1" applyBorder="1" applyAlignment="1" applyProtection="1">
      <alignment horizontal="center"/>
      <protection locked="0"/>
    </xf>
    <xf numFmtId="0" fontId="42" fillId="0" borderId="100" xfId="1" applyFont="1" applyBorder="1" applyAlignment="1" applyProtection="1">
      <alignment horizontal="center"/>
      <protection locked="0"/>
    </xf>
    <xf numFmtId="0" fontId="18" fillId="14" borderId="10" xfId="5" applyFont="1" applyFill="1" applyBorder="1" applyAlignment="1">
      <alignment horizontal="center" vertical="center" wrapText="1"/>
    </xf>
    <xf numFmtId="0" fontId="18" fillId="14" borderId="11" xfId="5" applyFont="1" applyFill="1" applyBorder="1" applyAlignment="1">
      <alignment horizontal="center" vertical="center" wrapText="1"/>
    </xf>
    <xf numFmtId="171" fontId="18" fillId="14" borderId="11" xfId="5" applyNumberFormat="1" applyFont="1" applyFill="1" applyBorder="1" applyAlignment="1">
      <alignment horizontal="center" vertical="center"/>
    </xf>
    <xf numFmtId="10" fontId="18" fillId="14" borderId="12" xfId="2" applyNumberFormat="1" applyFont="1" applyFill="1" applyBorder="1" applyAlignment="1" applyProtection="1">
      <alignment horizontal="center" vertical="center"/>
    </xf>
    <xf numFmtId="49" fontId="36" fillId="19" borderId="34" xfId="5" applyNumberFormat="1" applyFont="1" applyFill="1" applyBorder="1" applyAlignment="1">
      <alignment horizontal="center" vertical="center" wrapText="1"/>
    </xf>
    <xf numFmtId="49" fontId="36" fillId="19" borderId="35" xfId="5" applyNumberFormat="1" applyFont="1" applyFill="1" applyBorder="1" applyAlignment="1">
      <alignment horizontal="center" vertical="center" wrapText="1"/>
    </xf>
    <xf numFmtId="49" fontId="36" fillId="19" borderId="36" xfId="5" applyNumberFormat="1" applyFont="1" applyFill="1" applyBorder="1" applyAlignment="1">
      <alignment horizontal="center" vertical="center" wrapText="1"/>
    </xf>
    <xf numFmtId="0" fontId="21" fillId="21" borderId="35" xfId="5" applyFont="1" applyFill="1" applyBorder="1" applyAlignment="1">
      <alignment horizontal="center" vertical="center"/>
    </xf>
    <xf numFmtId="171" fontId="18" fillId="10" borderId="50" xfId="5" applyNumberFormat="1" applyFont="1" applyFill="1" applyBorder="1" applyAlignment="1" applyProtection="1">
      <alignment horizontal="left" vertical="center" wrapText="1"/>
      <protection locked="0"/>
    </xf>
    <xf numFmtId="171" fontId="18" fillId="10" borderId="51" xfId="5" applyNumberFormat="1" applyFont="1" applyFill="1" applyBorder="1" applyAlignment="1" applyProtection="1">
      <alignment horizontal="left" vertical="center" wrapText="1"/>
      <protection locked="0"/>
    </xf>
    <xf numFmtId="0" fontId="18" fillId="14" borderId="21" xfId="5" applyFont="1" applyFill="1" applyBorder="1" applyAlignment="1">
      <alignment horizontal="left" vertical="center" wrapText="1"/>
    </xf>
    <xf numFmtId="0" fontId="18" fillId="14" borderId="31" xfId="5" applyFont="1" applyFill="1" applyBorder="1" applyAlignment="1">
      <alignment horizontal="left" vertical="center" wrapText="1"/>
    </xf>
    <xf numFmtId="0" fontId="18" fillId="14" borderId="32" xfId="5" applyFont="1" applyFill="1" applyBorder="1" applyAlignment="1">
      <alignment horizontal="left" vertical="center" wrapText="1"/>
    </xf>
    <xf numFmtId="0" fontId="18" fillId="14" borderId="49" xfId="5" applyFont="1" applyFill="1" applyBorder="1" applyAlignment="1">
      <alignment horizontal="left" vertical="center" wrapText="1"/>
    </xf>
    <xf numFmtId="0" fontId="21" fillId="21" borderId="34" xfId="1" applyFont="1" applyFill="1" applyBorder="1" applyAlignment="1">
      <alignment horizontal="center"/>
    </xf>
    <xf numFmtId="0" fontId="21" fillId="21" borderId="35" xfId="1" applyFont="1" applyFill="1" applyBorder="1" applyAlignment="1">
      <alignment horizontal="center"/>
    </xf>
    <xf numFmtId="0" fontId="21" fillId="21" borderId="36" xfId="1" applyFont="1" applyFill="1" applyBorder="1" applyAlignment="1">
      <alignment horizontal="center"/>
    </xf>
    <xf numFmtId="0" fontId="42" fillId="0" borderId="96" xfId="1" applyFont="1" applyBorder="1" applyAlignment="1" applyProtection="1">
      <alignment horizontal="center"/>
      <protection locked="0"/>
    </xf>
    <xf numFmtId="0" fontId="42" fillId="0" borderId="97" xfId="1" applyFont="1" applyBorder="1" applyAlignment="1" applyProtection="1">
      <alignment horizontal="center"/>
      <protection locked="0"/>
    </xf>
    <xf numFmtId="0" fontId="18" fillId="6" borderId="8" xfId="5" applyFont="1" applyFill="1" applyBorder="1" applyAlignment="1">
      <alignment horizontal="center" vertical="center"/>
    </xf>
    <xf numFmtId="0" fontId="18" fillId="6" borderId="9" xfId="5" applyFont="1" applyFill="1" applyBorder="1" applyAlignment="1">
      <alignment horizontal="center" vertical="center"/>
    </xf>
    <xf numFmtId="0" fontId="42" fillId="0" borderId="102" xfId="1" applyFont="1" applyBorder="1" applyAlignment="1" applyProtection="1">
      <alignment horizontal="center"/>
      <protection locked="0"/>
    </xf>
    <xf numFmtId="0" fontId="42" fillId="0" borderId="103" xfId="1" applyFont="1" applyBorder="1" applyAlignment="1" applyProtection="1">
      <alignment horizontal="center"/>
      <protection locked="0"/>
    </xf>
    <xf numFmtId="0" fontId="21" fillId="6" borderId="13" xfId="5" applyFont="1" applyFill="1" applyBorder="1" applyAlignment="1">
      <alignment horizontal="center" vertical="center"/>
    </xf>
    <xf numFmtId="0" fontId="21" fillId="6" borderId="104" xfId="5" applyFont="1" applyFill="1" applyBorder="1" applyAlignment="1">
      <alignment horizontal="center" vertical="center"/>
    </xf>
    <xf numFmtId="0" fontId="21" fillId="6" borderId="53" xfId="5" applyFont="1" applyFill="1" applyBorder="1" applyAlignment="1">
      <alignment horizontal="center" vertical="center"/>
    </xf>
    <xf numFmtId="0" fontId="17" fillId="0" borderId="8" xfId="1" applyFont="1" applyBorder="1" applyAlignment="1" applyProtection="1">
      <alignment horizontal="left" vertical="center"/>
      <protection locked="0"/>
    </xf>
    <xf numFmtId="0" fontId="1" fillId="11" borderId="20" xfId="1" applyFont="1" applyFill="1" applyBorder="1" applyAlignment="1">
      <alignment horizontal="center" vertical="center"/>
    </xf>
    <xf numFmtId="0" fontId="1" fillId="11" borderId="21" xfId="1" applyFont="1" applyFill="1" applyBorder="1" applyAlignment="1">
      <alignment horizontal="center" vertical="center"/>
    </xf>
    <xf numFmtId="0" fontId="9" fillId="0" borderId="21" xfId="1" applyFont="1" applyBorder="1" applyAlignment="1" applyProtection="1">
      <alignment horizontal="center" vertical="center"/>
      <protection locked="0"/>
    </xf>
    <xf numFmtId="0" fontId="9" fillId="0" borderId="31" xfId="1" applyFont="1" applyBorder="1" applyAlignment="1" applyProtection="1">
      <alignment horizontal="center" vertical="center"/>
      <protection locked="0"/>
    </xf>
    <xf numFmtId="0" fontId="7" fillId="0" borderId="47" xfId="1" applyFont="1" applyBorder="1" applyAlignment="1" applyProtection="1">
      <alignment horizontal="center" vertical="center"/>
      <protection locked="0"/>
    </xf>
    <xf numFmtId="0" fontId="7" fillId="0" borderId="29" xfId="1" applyFont="1" applyBorder="1" applyAlignment="1" applyProtection="1">
      <alignment horizontal="center" vertical="center"/>
      <protection locked="0"/>
    </xf>
    <xf numFmtId="0" fontId="7" fillId="0" borderId="44" xfId="1" applyFont="1" applyBorder="1" applyAlignment="1" applyProtection="1">
      <alignment horizontal="center" vertical="center"/>
      <protection locked="0"/>
    </xf>
    <xf numFmtId="0" fontId="1" fillId="11" borderId="23" xfId="1" applyFont="1" applyFill="1" applyBorder="1" applyAlignment="1">
      <alignment horizontal="center" vertical="center"/>
    </xf>
    <xf numFmtId="0" fontId="17" fillId="0" borderId="8" xfId="1" applyFont="1" applyBorder="1" applyAlignment="1" applyProtection="1">
      <alignment horizontal="center" vertical="center"/>
      <protection locked="0"/>
    </xf>
    <xf numFmtId="0" fontId="17" fillId="0" borderId="24" xfId="1" applyFont="1" applyBorder="1" applyAlignment="1" applyProtection="1">
      <alignment horizontal="left" vertical="center"/>
      <protection locked="0"/>
    </xf>
    <xf numFmtId="0" fontId="17" fillId="0" borderId="20" xfId="1" applyFont="1" applyBorder="1" applyAlignment="1" applyProtection="1">
      <alignment horizontal="center"/>
      <protection locked="0"/>
    </xf>
    <xf numFmtId="0" fontId="17" fillId="0" borderId="21" xfId="1" applyFont="1" applyBorder="1" applyAlignment="1" applyProtection="1">
      <alignment horizontal="center"/>
      <protection locked="0"/>
    </xf>
    <xf numFmtId="0" fontId="17" fillId="0" borderId="31" xfId="1" applyFont="1" applyBorder="1" applyAlignment="1" applyProtection="1">
      <alignment horizontal="center"/>
      <protection locked="0"/>
    </xf>
    <xf numFmtId="0" fontId="83" fillId="0" borderId="0" xfId="0" applyFont="1" applyAlignment="1">
      <alignment horizontal="center" vertical="center" wrapText="1"/>
    </xf>
  </cellXfs>
  <cellStyles count="14">
    <cellStyle name="Lien hypertexte 2" xfId="10" xr:uid="{B72284BC-AEDF-4E8A-B304-5519A37E4899}"/>
    <cellStyle name="Milliers 2" xfId="6" xr:uid="{DC173186-131D-4591-9A7C-721E57687A40}"/>
    <cellStyle name="Milliers 3" xfId="8" xr:uid="{AA7EC66C-0DF3-48CF-B8B5-98801D8B44CF}"/>
    <cellStyle name="Monétaire" xfId="3" builtinId="4"/>
    <cellStyle name="Monétaire 2" xfId="9" xr:uid="{1F9C7DAE-4281-4C0C-8284-370E2F823D2D}"/>
    <cellStyle name="Normal" xfId="0" builtinId="0"/>
    <cellStyle name="Normal 2" xfId="1" xr:uid="{82DDA42B-F9A4-4ECE-A778-E3AE44055BD9}"/>
    <cellStyle name="Normal 3" xfId="5" xr:uid="{7DA344FF-A95D-4BC2-9733-588EB71586FE}"/>
    <cellStyle name="Normal 4" xfId="12" xr:uid="{241C2452-3D8A-48EB-A4FC-764424155F6E}"/>
    <cellStyle name="Normal 5" xfId="11" xr:uid="{EA82CFE6-2BAF-4C6F-83FA-C0D78F35DF74}"/>
    <cellStyle name="Normal_Feuil1" xfId="7" xr:uid="{2C072C26-AAB1-4D8A-96EF-3D32315527EF}"/>
    <cellStyle name="Pourcentage" xfId="4" builtinId="5"/>
    <cellStyle name="Pourcentage 2" xfId="2" xr:uid="{8FB530BC-03DD-495B-8B1E-9E81148BBC47}"/>
    <cellStyle name="Pourcentage 3" xfId="13" xr:uid="{BFF80483-36E4-4A92-9089-20D72E2E4D45}"/>
  </cellStyles>
  <dxfs count="59"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000000"/>
      </font>
      <fill>
        <patternFill patternType="solid">
          <fgColor indexed="64"/>
          <bgColor rgb="FFFFD966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9C5700"/>
      </font>
      <fill>
        <patternFill patternType="solid">
          <fgColor indexed="64"/>
          <bgColor rgb="FFFFEB9C"/>
        </patternFill>
      </fill>
    </dxf>
    <dxf>
      <font>
        <b/>
        <i val="0"/>
        <color rgb="FF9C0006"/>
      </font>
      <fill>
        <patternFill patternType="solid">
          <fgColor indexed="64"/>
          <bgColor rgb="FFF8CBAD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9C5700"/>
      </font>
      <fill>
        <patternFill patternType="solid">
          <fgColor indexed="64"/>
          <bgColor rgb="FFFFEB9C"/>
        </patternFill>
      </fill>
    </dxf>
    <dxf>
      <font>
        <b/>
        <i val="0"/>
        <color rgb="FF9C0006"/>
      </font>
      <fill>
        <patternFill patternType="solid">
          <fgColor indexed="64"/>
          <bgColor rgb="FFF8CBAD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9C5700"/>
      </font>
      <fill>
        <patternFill patternType="solid">
          <fgColor indexed="64"/>
          <bgColor rgb="FFFFEB9C"/>
        </patternFill>
      </fill>
    </dxf>
    <dxf>
      <font>
        <color rgb="FF9C0006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b/>
        <i val="0"/>
      </font>
      <fill>
        <patternFill patternType="solid">
          <fgColor indexed="64"/>
          <bgColor rgb="FFE89B2C"/>
        </patternFill>
      </fill>
    </dxf>
    <dxf>
      <font>
        <b/>
        <i val="0"/>
        <color rgb="FFFFFFFF"/>
      </font>
    </dxf>
    <dxf>
      <font>
        <color rgb="FFFFFFFF"/>
      </font>
    </dxf>
    <dxf>
      <fill>
        <patternFill patternType="solid">
          <fgColor indexed="64"/>
          <bgColor rgb="FFFFF2CC"/>
        </patternFill>
      </fill>
    </dxf>
    <dxf>
      <font>
        <color rgb="FF9C0006"/>
      </font>
    </dxf>
    <dxf>
      <font>
        <color rgb="FF0061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#,##0.00\ &quot;€&quot;"/>
      <fill>
        <patternFill patternType="solid">
          <fgColor indexed="64"/>
          <bgColor rgb="FF9DB4D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9DB4D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9DB4D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9DB4D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/>
    </dxf>
    <dxf>
      <border outline="0">
        <top style="thin">
          <color rgb="FF000000"/>
        </top>
      </border>
    </dxf>
    <dxf>
      <border outline="0">
        <top style="medium">
          <color rgb="FF000000"/>
        </top>
        <bottom style="thin">
          <color rgb="FF000000"/>
        </bottom>
      </border>
    </dxf>
    <dxf>
      <protection locked="1"/>
    </dxf>
    <dxf>
      <border outline="0">
        <bottom style="thin">
          <color rgb="FF000000"/>
        </bottom>
      </border>
    </dxf>
    <dxf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4" formatCode="#,##0.00\ &quot;€&quot;"/>
      <fill>
        <patternFill patternType="solid">
          <fgColor indexed="64"/>
          <bgColor rgb="FF9DB4D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9DB4D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ACD7CA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ACD7CA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solid">
          <fgColor indexed="64"/>
          <bgColor rgb="FF9DB4D9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/>
    </dxf>
    <dxf>
      <border outline="0">
        <top style="thin">
          <color indexed="64"/>
        </top>
      </border>
    </dxf>
    <dxf>
      <border outline="0">
        <top style="medium">
          <color indexed="64"/>
        </top>
        <bottom style="thin">
          <color indexed="64"/>
        </bottom>
      </border>
    </dxf>
    <dxf>
      <protection locked="1"/>
    </dxf>
    <dxf>
      <border outline="0">
        <bottom style="thin">
          <color indexed="64"/>
        </bottom>
      </border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  <dxf>
      <fill>
        <patternFill patternType="solid">
          <bgColor rgb="FFF1CB6F"/>
        </patternFill>
      </fill>
    </dxf>
  </dxfs>
  <tableStyles count="0" defaultTableStyle="TableStyleMedium2" defaultPivotStyle="PivotStyleLight16"/>
  <colors>
    <mruColors>
      <color rgb="FFF1CB6F"/>
      <color rgb="FFACD7CA"/>
      <color rgb="FF9DB4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Diagramme de Pareto — C.A par produit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'7. Pareto - Graphique CA'!$B$1</c:f>
              <c:strCache>
                <c:ptCount val="1"/>
                <c:pt idx="0">
                  <c:v>C.A total (€)</c:v>
                </c:pt>
              </c:strCache>
            </c:strRef>
          </c:tx>
          <c:spPr>
            <a:solidFill>
              <a:srgbClr val="4472C4"/>
            </a:solidFill>
            <a:ln>
              <a:noFill/>
            </a:ln>
            <a:effectLst/>
          </c:spPr>
          <c:invertIfNegative val="0"/>
          <c:cat>
            <c:strRef>
              <c:f>'7. Pareto - Graphique CA'!$A$2:$A$17</c:f>
              <c:strCache>
                <c:ptCount val="6"/>
                <c:pt idx="0">
                  <c:v>Bolognaise</c:v>
                </c:pt>
                <c:pt idx="1">
                  <c:v>Coulis de tomate</c:v>
                </c:pt>
                <c:pt idx="2">
                  <c:v>Pickels légumes</c:v>
                </c:pt>
                <c:pt idx="3">
                  <c:v>Potage legume feuille</c:v>
                </c:pt>
                <c:pt idx="4">
                  <c:v>Chutney carottes</c:v>
                </c:pt>
                <c:pt idx="5">
                  <c:v>Marmelade agrumes</c:v>
                </c:pt>
              </c:strCache>
            </c:strRef>
          </c:cat>
          <c:val>
            <c:numRef>
              <c:f>'7. Pareto - Graphique CA'!$B$2:$B$17</c:f>
              <c:numCache>
                <c:formatCode>#,##0\ \€</c:formatCode>
                <c:ptCount val="16"/>
                <c:pt idx="0">
                  <c:v>2123.3962264150941</c:v>
                </c:pt>
                <c:pt idx="1">
                  <c:v>296.3962264150943</c:v>
                </c:pt>
                <c:pt idx="2">
                  <c:v>296.3962264150943</c:v>
                </c:pt>
                <c:pt idx="3">
                  <c:v>296.3962264150943</c:v>
                </c:pt>
                <c:pt idx="4">
                  <c:v>296.3962264150943</c:v>
                </c:pt>
                <c:pt idx="5">
                  <c:v>202.99999999999997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2F-4C53-AAC7-394E6E8F6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1589487"/>
        <c:axId val="1281587567"/>
      </c:barChart>
      <c:lineChart>
        <c:grouping val="standard"/>
        <c:varyColors val="0"/>
        <c:ser>
          <c:idx val="1"/>
          <c:order val="1"/>
          <c:tx>
            <c:strRef>
              <c:f>'7. Pareto - Graphique CA'!$C$1</c:f>
              <c:strCache>
                <c:ptCount val="1"/>
                <c:pt idx="0">
                  <c:v>% cumulé</c:v>
                </c:pt>
              </c:strCache>
            </c:strRef>
          </c:tx>
          <c:spPr>
            <a:ln w="28575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circle"/>
            <c:size val="7"/>
            <c:spPr>
              <a:solidFill>
                <a:srgbClr val="ED7D31"/>
              </a:solidFill>
              <a:ln w="9525">
                <a:solidFill>
                  <a:srgbClr val="ED7D31"/>
                </a:solidFill>
                <a:prstDash val="solid"/>
              </a:ln>
              <a:effectLst/>
            </c:spPr>
          </c:marker>
          <c:cat>
            <c:strRef>
              <c:f>'7. Pareto - Graphique CA'!$A$2:$A$17</c:f>
              <c:strCache>
                <c:ptCount val="6"/>
                <c:pt idx="0">
                  <c:v>Bolognaise</c:v>
                </c:pt>
                <c:pt idx="1">
                  <c:v>Coulis de tomate</c:v>
                </c:pt>
                <c:pt idx="2">
                  <c:v>Pickels légumes</c:v>
                </c:pt>
                <c:pt idx="3">
                  <c:v>Potage legume feuille</c:v>
                </c:pt>
                <c:pt idx="4">
                  <c:v>Chutney carottes</c:v>
                </c:pt>
                <c:pt idx="5">
                  <c:v>Marmelade agrumes</c:v>
                </c:pt>
              </c:strCache>
            </c:strRef>
          </c:cat>
          <c:val>
            <c:numRef>
              <c:f>'7. Pareto - Graphique CA'!$C$2:$C$17</c:f>
              <c:numCache>
                <c:formatCode>0.0%</c:formatCode>
                <c:ptCount val="16"/>
                <c:pt idx="0">
                  <c:v>0.60461493002390754</c:v>
                </c:pt>
                <c:pt idx="1">
                  <c:v>0.68901066430279112</c:v>
                </c:pt>
                <c:pt idx="2">
                  <c:v>0.7734063985816747</c:v>
                </c:pt>
                <c:pt idx="3">
                  <c:v>0.85780213286055829</c:v>
                </c:pt>
                <c:pt idx="4">
                  <c:v>0.94219786713944187</c:v>
                </c:pt>
                <c:pt idx="5">
                  <c:v>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2F-4C53-AAC7-394E6E8F6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4299231"/>
        <c:axId val="2024297791"/>
      </c:lineChart>
      <c:catAx>
        <c:axId val="1281589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1587567"/>
        <c:crosses val="autoZero"/>
        <c:auto val="1"/>
        <c:lblAlgn val="ctr"/>
        <c:lblOffset val="100"/>
        <c:noMultiLvlLbl val="0"/>
      </c:catAx>
      <c:valAx>
        <c:axId val="128158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€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1589487"/>
        <c:crosses val="autoZero"/>
        <c:crossBetween val="between"/>
      </c:valAx>
      <c:valAx>
        <c:axId val="2024297791"/>
        <c:scaling>
          <c:orientation val="minMax"/>
          <c:max val="1"/>
          <c:min val="0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24299231"/>
        <c:crosses val="max"/>
        <c:crossBetween val="between"/>
      </c:valAx>
      <c:catAx>
        <c:axId val="20242992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42977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Matrice Menu Engineering — % MB vs C.A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Produits</c:v>
          </c:tx>
          <c:spPr>
            <a:ln w="381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4472C4"/>
              </a:solidFill>
              <a:ln w="9525">
                <a:solidFill>
                  <a:srgbClr val="1F4E78"/>
                </a:solidFill>
                <a:prstDash val="solid"/>
              </a:ln>
              <a:effectLst/>
            </c:spPr>
          </c:marker>
          <c:dLbls>
            <c:dLbl>
              <c:idx val="0"/>
              <c:tx>
                <c:strRef>
                  <c:f>'8. Matrice MENU ENGINEERING'!$B$2</c:f>
                  <c:strCache>
                    <c:ptCount val="1"/>
                    <c:pt idx="0">
                      <c:v>Bolognaise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{B5769915-E7C1-4576-8601-50205F80B392}</c15:txfldGUID>
                      <c15:f>'8. Matrice MENU ENGINEERING'!$B$2</c15:f>
                      <c15:dlblFieldTableCache>
                        <c:ptCount val="1"/>
                        <c:pt idx="0">
                          <c:v>Bolognaise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77C7-4DBB-83F1-B79C44280936}"/>
                </c:ext>
              </c:extLst>
            </c:dLbl>
            <c:dLbl>
              <c:idx val="1"/>
              <c:tx>
                <c:strRef>
                  <c:f>'8. Matrice MENU ENGINEERING'!$B$3</c:f>
                  <c:strCache>
                    <c:ptCount val="1"/>
                    <c:pt idx="0">
                      <c:v>Coulis de tomate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{3E2C208F-5575-4F8F-82B2-D7AE012A7EEF}</c15:txfldGUID>
                      <c15:f>'8. Matrice MENU ENGINEERING'!$B$3</c15:f>
                      <c15:dlblFieldTableCache>
                        <c:ptCount val="1"/>
                        <c:pt idx="0">
                          <c:v>Coulis de tomate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77C7-4DBB-83F1-B79C44280936}"/>
                </c:ext>
              </c:extLst>
            </c:dLbl>
            <c:dLbl>
              <c:idx val="2"/>
              <c:tx>
                <c:strRef>
                  <c:f>'8. Matrice MENU ENGINEERING'!$B$4</c:f>
                  <c:strCache>
                    <c:ptCount val="1"/>
                    <c:pt idx="0">
                      <c:v>Pickels légumes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{4326F1B5-E1C2-40C7-82F4-07A0E68E8724}</c15:txfldGUID>
                      <c15:f>'8. Matrice MENU ENGINEERING'!$B$4</c15:f>
                      <c15:dlblFieldTableCache>
                        <c:ptCount val="1"/>
                        <c:pt idx="0">
                          <c:v>Pickels légumes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77C7-4DBB-83F1-B79C44280936}"/>
                </c:ext>
              </c:extLst>
            </c:dLbl>
            <c:dLbl>
              <c:idx val="3"/>
              <c:tx>
                <c:strRef>
                  <c:f>'8. Matrice MENU ENGINEERING'!$B$5</c:f>
                  <c:strCache>
                    <c:ptCount val="1"/>
                    <c:pt idx="0">
                      <c:v>Potage legume feuille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{B470B93D-FD73-42F9-AFA5-DD38E2B8B30D}</c15:txfldGUID>
                      <c15:f>'8. Matrice MENU ENGINEERING'!$B$5</c15:f>
                      <c15:dlblFieldTableCache>
                        <c:ptCount val="1"/>
                        <c:pt idx="0">
                          <c:v>Potage legume feuille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77C7-4DBB-83F1-B79C44280936}"/>
                </c:ext>
              </c:extLst>
            </c:dLbl>
            <c:dLbl>
              <c:idx val="4"/>
              <c:tx>
                <c:strRef>
                  <c:f>'8. Matrice MENU ENGINEERING'!$B$6</c:f>
                  <c:strCache>
                    <c:ptCount val="1"/>
                    <c:pt idx="0">
                      <c:v>Chutney carottes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{92BCBCC9-77F9-4728-8766-D72D7523AC7B}</c15:txfldGUID>
                      <c15:f>'8. Matrice MENU ENGINEERING'!$B$6</c15:f>
                      <c15:dlblFieldTableCache>
                        <c:ptCount val="1"/>
                        <c:pt idx="0">
                          <c:v>Chutney carottes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77C7-4DBB-83F1-B79C44280936}"/>
                </c:ext>
              </c:extLst>
            </c:dLbl>
            <c:dLbl>
              <c:idx val="5"/>
              <c:tx>
                <c:strRef>
                  <c:f>'8. Matrice MENU ENGINEERING'!$B$7</c:f>
                  <c:strCache>
                    <c:ptCount val="1"/>
                    <c:pt idx="0">
                      <c:v>Marmelade agrumes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{E569CFA2-A862-41AD-9473-5EF8D8167ED3}</c15:txfldGUID>
                      <c15:f>'8. Matrice MENU ENGINEERING'!$B$7</c15:f>
                      <c15:dlblFieldTableCache>
                        <c:ptCount val="1"/>
                        <c:pt idx="0">
                          <c:v>Marmelade agrumes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77C7-4DBB-83F1-B79C44280936}"/>
                </c:ext>
              </c:extLst>
            </c:dLbl>
            <c:dLbl>
              <c:idx val="6"/>
              <c:tx>
                <c:strRef>
                  <c:f>'8. Matrice MENU ENGINEERING'!$B$8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{DE62960F-56CE-44F0-8DA0-115EF8F55AA9}</c15:txfldGUID>
                      <c15:f>'8. Matrice MENU ENGINEERING'!$B$8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8736-4F2F-B05C-DE3F441A8D4D}"/>
                </c:ext>
              </c:extLst>
            </c:dLbl>
            <c:dLbl>
              <c:idx val="7"/>
              <c:tx>
                <c:strRef>
                  <c:f>'8. Matrice MENU ENGINEERING'!$B$9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{4F87AD3D-A661-4E2F-98D6-674D16A40268}</c15:txfldGUID>
                      <c15:f>'8. Matrice MENU ENGINEERING'!$B$9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8736-4F2F-B05C-DE3F441A8D4D}"/>
                </c:ext>
              </c:extLst>
            </c:dLbl>
            <c:dLbl>
              <c:idx val="8"/>
              <c:tx>
                <c:strRef>
                  <c:f>'8. Matrice MENU ENGINEERING'!$B$10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{0BF6729C-E48A-4C2E-BDF6-9296A798D1A5}</c15:txfldGUID>
                      <c15:f>'8. Matrice MENU ENGINEERING'!$B$10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8736-4F2F-B05C-DE3F441A8D4D}"/>
                </c:ext>
              </c:extLst>
            </c:dLbl>
            <c:dLbl>
              <c:idx val="9"/>
              <c:tx>
                <c:strRef>
                  <c:f>'8. Matrice MENU ENGINEERING'!$B$11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{988AC364-4816-42DF-9019-C120084BDDBD}</c15:txfldGUID>
                      <c15:f>'8. Matrice MENU ENGINEERING'!$B$11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8736-4F2F-B05C-DE3F441A8D4D}"/>
                </c:ext>
              </c:extLst>
            </c:dLbl>
            <c:dLbl>
              <c:idx val="10"/>
              <c:tx>
                <c:strRef>
                  <c:f>'8. Matrice MENU ENGINEERING'!$B$12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{2F34CC1D-4B04-4511-A84E-C0C586A1D94F}</c15:txfldGUID>
                      <c15:f>'8. Matrice MENU ENGINEERING'!$B$12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8736-4F2F-B05C-DE3F441A8D4D}"/>
                </c:ext>
              </c:extLst>
            </c:dLbl>
            <c:dLbl>
              <c:idx val="11"/>
              <c:tx>
                <c:strRef>
                  <c:f>'8. Matrice MENU ENGINEERING'!$B$13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{CA0D50A4-0780-40A6-9BB2-98A2E9ED0525}</c15:txfldGUID>
                      <c15:f>'8. Matrice MENU ENGINEERING'!$B$13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8736-4F2F-B05C-DE3F441A8D4D}"/>
                </c:ext>
              </c:extLst>
            </c:dLbl>
            <c:dLbl>
              <c:idx val="12"/>
              <c:tx>
                <c:strRef>
                  <c:f>'8. Matrice MENU ENGINEERING'!$B$14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{21CDC8A4-AF92-419A-93B2-1A177EA9ED60}</c15:txfldGUID>
                      <c15:f>'8. Matrice MENU ENGINEERING'!$B$14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8736-4F2F-B05C-DE3F441A8D4D}"/>
                </c:ext>
              </c:extLst>
            </c:dLbl>
            <c:dLbl>
              <c:idx val="13"/>
              <c:tx>
                <c:strRef>
                  <c:f>'8. Matrice MENU ENGINEERING'!$B$15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{D3A6F0E7-E2D3-4B8B-AE46-9A97C5CE27B3}</c15:txfldGUID>
                      <c15:f>'8. Matrice MENU ENGINEERING'!$B$15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8736-4F2F-B05C-DE3F441A8D4D}"/>
                </c:ext>
              </c:extLst>
            </c:dLbl>
            <c:dLbl>
              <c:idx val="14"/>
              <c:tx>
                <c:strRef>
                  <c:f>'8. Matrice MENU ENGINEERING'!$B$16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{BFB8694E-B80D-496C-AF29-6EF0F2BDE7F5}</c15:txfldGUID>
                      <c15:f>'8. Matrice MENU ENGINEERING'!$B$16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8736-4F2F-B05C-DE3F441A8D4D}"/>
                </c:ext>
              </c:extLst>
            </c:dLbl>
            <c:dLbl>
              <c:idx val="15"/>
              <c:tx>
                <c:strRef>
                  <c:f>'8. Matrice MENU ENGINEERING'!$B$17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{DBA0A1E0-3942-4FDF-93E3-CCCE9045265E}</c15:txfldGUID>
                      <c15:f>'8. Matrice MENU ENGINEERING'!$B$17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8736-4F2F-B05C-DE3F441A8D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'8. Matrice MENU ENGINEERING'!$C$2:$C$17</c:f>
              <c:numCache>
                <c:formatCode>#,##0\ \€</c:formatCode>
                <c:ptCount val="16"/>
                <c:pt idx="0">
                  <c:v>2123.3962264150941</c:v>
                </c:pt>
                <c:pt idx="1">
                  <c:v>296.3962264150943</c:v>
                </c:pt>
                <c:pt idx="2">
                  <c:v>296.3962264150943</c:v>
                </c:pt>
                <c:pt idx="3">
                  <c:v>296.3962264150943</c:v>
                </c:pt>
                <c:pt idx="4">
                  <c:v>296.3962264150943</c:v>
                </c:pt>
                <c:pt idx="5">
                  <c:v>202.99999999999997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</c:numCache>
            </c:numRef>
          </c:xVal>
          <c:yVal>
            <c:numRef>
              <c:f>'8. Matrice MENU ENGINEERING'!$D$2:$D$17</c:f>
              <c:numCache>
                <c:formatCode>0.0%</c:formatCode>
                <c:ptCount val="16"/>
                <c:pt idx="0">
                  <c:v>0.71294341417372586</c:v>
                </c:pt>
                <c:pt idx="1">
                  <c:v>0.7231652639322117</c:v>
                </c:pt>
                <c:pt idx="2">
                  <c:v>0.7231652639322117</c:v>
                </c:pt>
                <c:pt idx="3">
                  <c:v>0.7231652639322117</c:v>
                </c:pt>
                <c:pt idx="4">
                  <c:v>0.7231652639322117</c:v>
                </c:pt>
                <c:pt idx="5">
                  <c:v>0.71128511220580193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C7-4DBB-83F1-B79C44280936}"/>
            </c:ext>
          </c:extLst>
        </c:ser>
        <c:ser>
          <c:idx val="1"/>
          <c:order val="1"/>
          <c:tx>
            <c:v>Moyenne CA</c:v>
          </c:tx>
          <c:spPr>
            <a:ln w="1905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'8. Matrice MENU ENGINEERING'!$F$2:$F$3</c:f>
              <c:numCache>
                <c:formatCode>General</c:formatCode>
                <c:ptCount val="2"/>
                <c:pt idx="0">
                  <c:v>585.33018867924511</c:v>
                </c:pt>
                <c:pt idx="1">
                  <c:v>585.33018867924511</c:v>
                </c:pt>
              </c:numCache>
            </c:numRef>
          </c:xVal>
          <c:yVal>
            <c:numRef>
              <c:f>'8. Matrice MENU ENGINEERING'!$G$2:$G$3</c:f>
              <c:numCache>
                <c:formatCode>General</c:formatCode>
                <c:ptCount val="2"/>
                <c:pt idx="0">
                  <c:v>0.71128511220580193</c:v>
                </c:pt>
                <c:pt idx="1">
                  <c:v>0.7231652639322117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C7-4DBB-83F1-B79C44280936}"/>
            </c:ext>
          </c:extLst>
        </c:ser>
        <c:ser>
          <c:idx val="2"/>
          <c:order val="2"/>
          <c:tx>
            <c:v>Moyenne %MB</c:v>
          </c:tx>
          <c:spPr>
            <a:ln w="1905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'8. Matrice MENU ENGINEERING'!$F$6:$F$7</c:f>
              <c:numCache>
                <c:formatCode>General</c:formatCode>
                <c:ptCount val="2"/>
                <c:pt idx="0">
                  <c:v>202.99999999999997</c:v>
                </c:pt>
                <c:pt idx="1">
                  <c:v>2123.3962264150941</c:v>
                </c:pt>
              </c:numCache>
            </c:numRef>
          </c:xVal>
          <c:yVal>
            <c:numRef>
              <c:f>'8. Matrice MENU ENGINEERING'!$G$6:$G$7</c:f>
              <c:numCache>
                <c:formatCode>General</c:formatCode>
                <c:ptCount val="2"/>
                <c:pt idx="0">
                  <c:v>0.71948159701806258</c:v>
                </c:pt>
                <c:pt idx="1">
                  <c:v>0.71948159701806258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7C7-4DBB-83F1-B79C44280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4550751"/>
        <c:axId val="2084553631"/>
      </c:scatterChart>
      <c:valAx>
        <c:axId val="20845507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BE"/>
                  <a:t>Chiffre d'affaires (€)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\ \€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4553631"/>
        <c:crosses val="autoZero"/>
        <c:crossBetween val="midCat"/>
      </c:valAx>
      <c:valAx>
        <c:axId val="2084553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BE"/>
                  <a:t>% Marge Brute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4550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650562</xdr:colOff>
      <xdr:row>19</xdr:row>
      <xdr:rowOff>256905</xdr:rowOff>
    </xdr:from>
    <xdr:to>
      <xdr:col>6</xdr:col>
      <xdr:colOff>504604</xdr:colOff>
      <xdr:row>22</xdr:row>
      <xdr:rowOff>28167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4993C39-B11D-176A-2BCB-07A876866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51539" y="6633240"/>
          <a:ext cx="2331178" cy="1407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289290</xdr:colOff>
      <xdr:row>19</xdr:row>
      <xdr:rowOff>96774</xdr:rowOff>
    </xdr:from>
    <xdr:to>
      <xdr:col>10</xdr:col>
      <xdr:colOff>316138</xdr:colOff>
      <xdr:row>22</xdr:row>
      <xdr:rowOff>275239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2389D0B-7849-4533-C33D-FD300DE2E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18828" y="6473109"/>
          <a:ext cx="1678273" cy="18146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253461</xdr:colOff>
      <xdr:row>18</xdr:row>
      <xdr:rowOff>107042</xdr:rowOff>
    </xdr:from>
    <xdr:to>
      <xdr:col>8</xdr:col>
      <xdr:colOff>401620</xdr:colOff>
      <xdr:row>23</xdr:row>
      <xdr:rowOff>201700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A59539E8-6F35-6EA1-145C-E4CEFF283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31574" y="5994065"/>
          <a:ext cx="1799584" cy="26941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713115</xdr:colOff>
      <xdr:row>22</xdr:row>
      <xdr:rowOff>285230</xdr:rowOff>
    </xdr:from>
    <xdr:to>
      <xdr:col>10</xdr:col>
      <xdr:colOff>122328</xdr:colOff>
      <xdr:row>27</xdr:row>
      <xdr:rowOff>47002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29F0293E-35B0-E54F-5E91-4333A247B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14092" y="8297697"/>
          <a:ext cx="5189199" cy="12602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337328</xdr:colOff>
      <xdr:row>2</xdr:row>
      <xdr:rowOff>0</xdr:rowOff>
    </xdr:from>
    <xdr:to>
      <xdr:col>10</xdr:col>
      <xdr:colOff>249625</xdr:colOff>
      <xdr:row>9</xdr:row>
      <xdr:rowOff>46745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5D276EC-9E72-CD05-E1BA-43A6586E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6183" y="0"/>
          <a:ext cx="5646872" cy="13960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412855</xdr:colOff>
      <xdr:row>11</xdr:row>
      <xdr:rowOff>91747</xdr:rowOff>
    </xdr:from>
    <xdr:to>
      <xdr:col>5</xdr:col>
      <xdr:colOff>667297</xdr:colOff>
      <xdr:row>14</xdr:row>
      <xdr:rowOff>318663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F5033BD2-5890-502A-36A7-ADA9119F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3832" y="2003118"/>
          <a:ext cx="1905867" cy="14807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412856</xdr:colOff>
      <xdr:row>14</xdr:row>
      <xdr:rowOff>458730</xdr:rowOff>
    </xdr:from>
    <xdr:to>
      <xdr:col>5</xdr:col>
      <xdr:colOff>581056</xdr:colOff>
      <xdr:row>15</xdr:row>
      <xdr:rowOff>419999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36B6E14F-37C7-1069-3482-4062833EC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3833" y="3623961"/>
          <a:ext cx="1819625" cy="542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825710</xdr:colOff>
      <xdr:row>11</xdr:row>
      <xdr:rowOff>198781</xdr:rowOff>
    </xdr:from>
    <xdr:to>
      <xdr:col>8</xdr:col>
      <xdr:colOff>290527</xdr:colOff>
      <xdr:row>15</xdr:row>
      <xdr:rowOff>305816</xdr:rowOff>
    </xdr:to>
    <xdr:pic>
      <xdr:nvPicPr>
        <xdr:cNvPr id="9" name="Image 8" descr="Une image contenant texte, vert, conception&#10;&#10;Description générée automatiquement">
          <a:extLst>
            <a:ext uri="{FF2B5EF4-FFF2-40B4-BE49-F238E27FC236}">
              <a16:creationId xmlns:a16="http://schemas.microsoft.com/office/drawing/2014/main" id="{EAB5E7D3-1C7B-9B04-4ACB-18E980F042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78112" y="2110152"/>
          <a:ext cx="1941953" cy="1941953"/>
        </a:xfrm>
        <a:prstGeom prst="rect">
          <a:avLst/>
        </a:prstGeom>
      </xdr:spPr>
    </xdr:pic>
    <xdr:clientData/>
  </xdr:twoCellAnchor>
  <xdr:twoCellAnchor editAs="oneCell">
    <xdr:from>
      <xdr:col>8</xdr:col>
      <xdr:colOff>366984</xdr:colOff>
      <xdr:row>10</xdr:row>
      <xdr:rowOff>321111</xdr:rowOff>
    </xdr:from>
    <xdr:to>
      <xdr:col>11</xdr:col>
      <xdr:colOff>1</xdr:colOff>
      <xdr:row>15</xdr:row>
      <xdr:rowOff>214073</xdr:rowOff>
    </xdr:to>
    <xdr:pic>
      <xdr:nvPicPr>
        <xdr:cNvPr id="10" name="Image 9" descr="Une image contenant logo, Graphique, clipart, Police&#10;&#10;Description générée automatiquement">
          <a:extLst>
            <a:ext uri="{FF2B5EF4-FFF2-40B4-BE49-F238E27FC236}">
              <a16:creationId xmlns:a16="http://schemas.microsoft.com/office/drawing/2014/main" id="{BD772B49-1643-82A8-B8D8-49F8ABC38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96522" y="1850207"/>
          <a:ext cx="2110154" cy="21101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251908</xdr:colOff>
      <xdr:row>1</xdr:row>
      <xdr:rowOff>52781</xdr:rowOff>
    </xdr:from>
    <xdr:to>
      <xdr:col>1</xdr:col>
      <xdr:colOff>169372</xdr:colOff>
      <xdr:row>2</xdr:row>
      <xdr:rowOff>134920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9B4C49A1-C362-4309-8137-02BE783A6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908" y="220869"/>
          <a:ext cx="789954" cy="2593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2" name="Text Box 17">
          <a:extLst>
            <a:ext uri="{FF2B5EF4-FFF2-40B4-BE49-F238E27FC236}">
              <a16:creationId xmlns:a16="http://schemas.microsoft.com/office/drawing/2014/main" id="{5B8D7936-A3D1-49F2-B592-D4DDBFA2F131}"/>
            </a:ext>
          </a:extLst>
        </xdr:cNvPr>
        <xdr:cNvSpPr txBox="1">
          <a:spLocks noChangeAspect="1" noChangeArrowheads="1"/>
        </xdr:cNvSpPr>
      </xdr:nvSpPr>
      <xdr:spPr bwMode="auto">
        <a:xfrm>
          <a:off x="15240" y="3362325"/>
          <a:ext cx="1405318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4BEEF013-C0E0-4FF5-86BE-DA429C5EAB71}"/>
            </a:ext>
          </a:extLst>
        </xdr:cNvPr>
        <xdr:cNvSpPr txBox="1">
          <a:spLocks noChangeAspect="1" noChangeArrowheads="1"/>
        </xdr:cNvSpPr>
      </xdr:nvSpPr>
      <xdr:spPr bwMode="auto">
        <a:xfrm>
          <a:off x="15240" y="3362325"/>
          <a:ext cx="1405318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</xdr:colOff>
      <xdr:row>0</xdr:row>
      <xdr:rowOff>119063</xdr:rowOff>
    </xdr:from>
    <xdr:to>
      <xdr:col>1</xdr:col>
      <xdr:colOff>631510</xdr:colOff>
      <xdr:row>2</xdr:row>
      <xdr:rowOff>114218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8D4B96-5333-4F23-B184-CAE0909B8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0968"/>
          <a:ext cx="1123475" cy="33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434340</xdr:colOff>
      <xdr:row>28</xdr:row>
      <xdr:rowOff>160020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E732B1FE-1011-4113-AB68-3AC2A70F47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1542</xdr:colOff>
      <xdr:row>0</xdr:row>
      <xdr:rowOff>0</xdr:rowOff>
    </xdr:from>
    <xdr:to>
      <xdr:col>21</xdr:col>
      <xdr:colOff>761184</xdr:colOff>
      <xdr:row>55</xdr:row>
      <xdr:rowOff>0</xdr:rowOff>
    </xdr:to>
    <xdr:graphicFrame macro="">
      <xdr:nvGraphicFramePr>
        <xdr:cNvPr id="4" name="Matrice de Menu Engineering">
          <a:extLst>
            <a:ext uri="{FF2B5EF4-FFF2-40B4-BE49-F238E27FC236}">
              <a16:creationId xmlns:a16="http://schemas.microsoft.com/office/drawing/2014/main" id="{C63A936B-D743-7DAC-DC30-420E470A01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100853</xdr:colOff>
      <xdr:row>0</xdr:row>
      <xdr:rowOff>44823</xdr:rowOff>
    </xdr:from>
    <xdr:to>
      <xdr:col>1</xdr:col>
      <xdr:colOff>1501188</xdr:colOff>
      <xdr:row>2</xdr:row>
      <xdr:rowOff>133094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4D154F8-3338-4B04-8A3D-5AD653234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853" y="44823"/>
          <a:ext cx="1404145" cy="429266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hiago Nyssens" refreshedDate="46169.551534953702" createdVersion="8" refreshedVersion="8" minRefreshableVersion="3" recordCount="35" xr:uid="{AFB3B107-E064-4729-9727-7C1EDD1D4250}">
  <cacheSource type="worksheet">
    <worksheetSource ref="B6:D41" sheet="2. INVEST &amp; AMORT"/>
  </cacheSource>
  <cacheFields count="3">
    <cacheField name="Catégorie investissement" numFmtId="0">
      <sharedItems count="8">
        <s v="IMMOBILISATIONS INCORPORELLES"/>
        <s v="IMMOBILIER"/>
        <s v="INSTALLATIONS"/>
        <s v="MACHINES ET OUTILLAGE"/>
        <s v="MOBILIER PROFESSIONNEL"/>
        <s v="MATERIEL DE BUREAU ET INFORMATIQUE"/>
        <s v="MATERIEL ROULANT"/>
        <s v="IMMOBILISATIONS DÉTENUES EN LOCATION-FINANCEMENT (LEASING) ET DROITS SIMILAIRES (RENTING, ETC)" u="1"/>
      </sharedItems>
    </cacheField>
    <cacheField name="Année achat" numFmtId="0">
      <sharedItems containsSemiMixedTypes="0" containsString="0" containsNumber="1" containsInteger="1" minValue="2018" maxValue="2027" count="9">
        <n v="2023"/>
        <n v="2021"/>
        <n v="2020"/>
        <n v="2018"/>
        <n v="2022"/>
        <n v="2019"/>
        <n v="2025"/>
        <n v="2024"/>
        <n v="2027" u="1"/>
      </sharedItems>
    </cacheField>
    <cacheField name="MONTANT HTVA" numFmtId="44">
      <sharedItems containsString="0" containsBlank="1" containsNumber="1" containsInteger="1" minValue="0" maxValue="3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n v="3000"/>
  </r>
  <r>
    <x v="0"/>
    <x v="1"/>
    <n v="0"/>
  </r>
  <r>
    <x v="0"/>
    <x v="2"/>
    <n v="1500"/>
  </r>
  <r>
    <x v="0"/>
    <x v="1"/>
    <n v="0"/>
  </r>
  <r>
    <x v="1"/>
    <x v="1"/>
    <n v="0"/>
  </r>
  <r>
    <x v="2"/>
    <x v="1"/>
    <m/>
  </r>
  <r>
    <x v="2"/>
    <x v="3"/>
    <n v="30000"/>
  </r>
  <r>
    <x v="2"/>
    <x v="1"/>
    <n v="0"/>
  </r>
  <r>
    <x v="3"/>
    <x v="4"/>
    <n v="15000"/>
  </r>
  <r>
    <x v="3"/>
    <x v="5"/>
    <n v="11000"/>
  </r>
  <r>
    <x v="3"/>
    <x v="0"/>
    <n v="3800"/>
  </r>
  <r>
    <x v="3"/>
    <x v="0"/>
    <n v="2100"/>
  </r>
  <r>
    <x v="3"/>
    <x v="2"/>
    <n v="11300"/>
  </r>
  <r>
    <x v="3"/>
    <x v="1"/>
    <n v="0"/>
  </r>
  <r>
    <x v="3"/>
    <x v="1"/>
    <n v="0"/>
  </r>
  <r>
    <x v="3"/>
    <x v="0"/>
    <n v="5500"/>
  </r>
  <r>
    <x v="3"/>
    <x v="0"/>
    <n v="15000"/>
  </r>
  <r>
    <x v="4"/>
    <x v="6"/>
    <n v="0"/>
  </r>
  <r>
    <x v="4"/>
    <x v="6"/>
    <n v="0"/>
  </r>
  <r>
    <x v="4"/>
    <x v="6"/>
    <n v="0"/>
  </r>
  <r>
    <x v="4"/>
    <x v="6"/>
    <n v="0"/>
  </r>
  <r>
    <x v="4"/>
    <x v="6"/>
    <n v="0"/>
  </r>
  <r>
    <x v="4"/>
    <x v="6"/>
    <n v="0"/>
  </r>
  <r>
    <x v="4"/>
    <x v="6"/>
    <n v="0"/>
  </r>
  <r>
    <x v="4"/>
    <x v="6"/>
    <n v="0"/>
  </r>
  <r>
    <x v="5"/>
    <x v="6"/>
    <n v="0"/>
  </r>
  <r>
    <x v="5"/>
    <x v="6"/>
    <n v="0"/>
  </r>
  <r>
    <x v="5"/>
    <x v="6"/>
    <n v="0"/>
  </r>
  <r>
    <x v="5"/>
    <x v="6"/>
    <n v="0"/>
  </r>
  <r>
    <x v="5"/>
    <x v="6"/>
    <n v="0"/>
  </r>
  <r>
    <x v="5"/>
    <x v="6"/>
    <n v="0"/>
  </r>
  <r>
    <x v="5"/>
    <x v="6"/>
    <n v="0"/>
  </r>
  <r>
    <x v="5"/>
    <x v="6"/>
    <n v="0"/>
  </r>
  <r>
    <x v="6"/>
    <x v="7"/>
    <n v="15000"/>
  </r>
  <r>
    <x v="6"/>
    <x v="6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FD69B1-608F-4F2D-BCC1-49388527D412}" name="RESUME INVESTISSEMENTS par catégorie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1:J10" firstHeaderRow="1" firstDataRow="2" firstDataCol="1"/>
  <pivotFields count="3">
    <pivotField axis="axisRow" showAll="0">
      <items count="9">
        <item x="1"/>
        <item m="1" x="7"/>
        <item x="0"/>
        <item x="2"/>
        <item x="3"/>
        <item x="5"/>
        <item x="6"/>
        <item x="4"/>
        <item t="default"/>
      </items>
    </pivotField>
    <pivotField axis="axisCol" showAll="0">
      <items count="10">
        <item x="3"/>
        <item x="2"/>
        <item x="1"/>
        <item x="4"/>
        <item x="0"/>
        <item x="7"/>
        <item x="6"/>
        <item m="1" x="8"/>
        <item x="5"/>
        <item t="default"/>
      </items>
    </pivotField>
    <pivotField dataField="1" numFmtId="44" showAll="0"/>
  </pivotFields>
  <rowFields count="1">
    <field x="0"/>
  </rowFields>
  <rowItems count="8">
    <i>
      <x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8"/>
    </i>
    <i t="grand">
      <x/>
    </i>
  </colItems>
  <dataFields count="1">
    <dataField name="Somme de MONTANT HTVA" fld="2" baseField="0" baseItem="0" numFmtId="44"/>
  </dataFields>
  <formats count="20">
    <format dxfId="58">
      <pivotArea type="all" dataOnly="0" outline="0" fieldPosition="0"/>
    </format>
    <format dxfId="57">
      <pivotArea outline="0" collapsedLevelsAreSubtotals="1" fieldPosition="0"/>
    </format>
    <format dxfId="56">
      <pivotArea type="origin" dataOnly="0" labelOnly="1" outline="0" fieldPosition="0"/>
    </format>
    <format dxfId="55">
      <pivotArea field="1" type="button" dataOnly="0" labelOnly="1" outline="0" axis="axisCol" fieldPosition="0"/>
    </format>
    <format dxfId="54">
      <pivotArea type="topRight" dataOnly="0" labelOnly="1" outline="0" fieldPosition="0"/>
    </format>
    <format dxfId="53">
      <pivotArea field="0" type="button" dataOnly="0" labelOnly="1" outline="0" axis="axisRow" fieldPosition="0"/>
    </format>
    <format dxfId="52">
      <pivotArea dataOnly="0" labelOnly="1" fieldPosition="0">
        <references count="1">
          <reference field="0" count="0"/>
        </references>
      </pivotArea>
    </format>
    <format dxfId="51">
      <pivotArea dataOnly="0" labelOnly="1" grandRow="1" outline="0" fieldPosition="0"/>
    </format>
    <format dxfId="50">
      <pivotArea dataOnly="0" labelOnly="1" fieldPosition="0">
        <references count="1">
          <reference field="1" count="0"/>
        </references>
      </pivotArea>
    </format>
    <format dxfId="49">
      <pivotArea dataOnly="0" labelOnly="1" grandCol="1" outline="0" fieldPosition="0"/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1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0" type="button" dataOnly="0" labelOnly="1" outline="0" axis="axisRow" fieldPosition="0"/>
    </format>
    <format dxfId="42">
      <pivotArea dataOnly="0" labelOnly="1" fieldPosition="0">
        <references count="1">
          <reference field="0" count="0"/>
        </references>
      </pivotArea>
    </format>
    <format dxfId="41">
      <pivotArea dataOnly="0" labelOnly="1" grandRow="1" outline="0" fieldPosition="0"/>
    </format>
    <format dxfId="40">
      <pivotArea dataOnly="0" labelOnly="1" fieldPosition="0">
        <references count="1">
          <reference field="1" count="0"/>
        </references>
      </pivotArea>
    </format>
    <format dxfId="39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D0F53E-DBC8-49CB-83A0-83E4883CCC85}" name="tblIngredients" displayName="tblIngredients" ref="A4:E64" totalsRowShown="0" headerRowDxfId="38" dataDxfId="36" headerRowBorderDxfId="37" tableBorderDxfId="35" totalsRowBorderDxfId="34">
  <autoFilter ref="A4:E64" xr:uid="{81D0F53E-DBC8-49CB-83A0-83E4883CCC85}"/>
  <sortState xmlns:xlrd2="http://schemas.microsoft.com/office/spreadsheetml/2017/richdata2" ref="A5:E11">
    <sortCondition ref="A4:A11"/>
  </sortState>
  <tableColumns count="5">
    <tableColumn id="1" xr3:uid="{692CA864-419A-43F5-AA7A-57C9971E9732}" name="Article" dataDxfId="33" dataCellStyle="Normal 2"/>
    <tableColumn id="5" xr3:uid="{4600568E-FCE7-4AB9-904A-3ABA6E2EC97A}" name="Autoproduction" dataDxfId="32" dataCellStyle="Normal 2"/>
    <tableColumn id="2" xr3:uid="{F476AC79-37D1-44FF-8999-782D3024D489}" name="Fournisseur" dataDxfId="31" dataCellStyle="Normal 2"/>
    <tableColumn id="3" xr3:uid="{25AD57C3-9A0D-4CDA-99E5-84C2BC174151}" name="Unité conditionnement" dataDxfId="30" dataCellStyle="Normal 2"/>
    <tableColumn id="4" xr3:uid="{4E4C568A-FEFD-42DA-A4E9-12E306E678C0}" name="Coût d'achat HTVA  à l'unité" dataDxfId="29" dataCellStyle="Normal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5612D4-4D0A-4F70-81D9-26D6D6BFBCF4}" name="tblConsommables" displayName="tblConsommables" ref="A4:D8" totalsRowShown="0" headerRowDxfId="28" dataDxfId="26" headerRowBorderDxfId="27" tableBorderDxfId="25" totalsRowBorderDxfId="24">
  <autoFilter ref="A4:D8" xr:uid="{81D0F53E-DBC8-49CB-83A0-83E4883CCC85}"/>
  <sortState xmlns:xlrd2="http://schemas.microsoft.com/office/spreadsheetml/2017/richdata2" ref="A5:D11">
    <sortCondition ref="A4:A11"/>
  </sortState>
  <tableColumns count="4">
    <tableColumn id="1" xr3:uid="{4F423DB7-385A-412E-B34F-9164D1C4DF8D}" name="Article" dataDxfId="23" dataCellStyle="Normal 2"/>
    <tableColumn id="2" xr3:uid="{89803ACA-640E-422B-BFDC-CFBEE65B3D71}" name="Fournisseur" dataDxfId="22" dataCellStyle="Normal 2"/>
    <tableColumn id="3" xr3:uid="{C2ECED44-1AA6-4D7E-9DB6-01755F59BF23}" name="Unité conditionnement" dataDxfId="21" dataCellStyle="Normal 2"/>
    <tableColumn id="4" xr3:uid="{1F062158-F147-47A8-BFCD-39F2B85C0385}" name="Coût d'achat HTVA  à l'unité" dataDxfId="2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A4FCB66-15E9-4268-8B24-E74C331E135A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c219416f-5d86-4f02-b373-418d5c61cfad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hyperlink" Target="javascript:%20void(openDocument('49e6dbbd-ef6e-4be0-84fe-147218be9db0'));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DDDBB-E23C-440C-97DA-27DAA6F984C2}">
  <dimension ref="A1:P51"/>
  <sheetViews>
    <sheetView tabSelected="1" topLeftCell="B1" zoomScale="37" zoomScaleNormal="37" workbookViewId="0">
      <selection activeCell="L17" sqref="L17"/>
    </sheetView>
  </sheetViews>
  <sheetFormatPr baseColWidth="10" defaultRowHeight="15.05"/>
  <cols>
    <col min="1" max="1" width="30.109375" style="25" customWidth="1"/>
    <col min="2" max="2" width="43.33203125" style="25" customWidth="1"/>
    <col min="3" max="3" width="99.88671875" style="25" customWidth="1"/>
    <col min="4" max="16384" width="11.5546875" style="25"/>
  </cols>
  <sheetData>
    <row r="1" spans="1:15" ht="177.2" customHeight="1">
      <c r="A1" s="910" t="s">
        <v>703</v>
      </c>
      <c r="B1" s="910"/>
      <c r="C1" s="910"/>
      <c r="D1" s="910"/>
      <c r="E1" s="910"/>
      <c r="F1" s="910"/>
      <c r="G1" s="910"/>
      <c r="H1" s="910"/>
      <c r="I1" s="910"/>
    </row>
    <row r="2" spans="1:15" ht="15.65" thickBot="1"/>
    <row r="3" spans="1:15">
      <c r="A3" s="285" t="s">
        <v>75</v>
      </c>
      <c r="B3" s="286"/>
      <c r="C3" s="287" t="s">
        <v>621</v>
      </c>
    </row>
    <row r="4" spans="1:15">
      <c r="A4" s="26"/>
      <c r="B4" s="288" t="s">
        <v>76</v>
      </c>
      <c r="C4" s="287"/>
    </row>
    <row r="5" spans="1:15">
      <c r="A5" s="289"/>
      <c r="B5" s="288" t="s">
        <v>77</v>
      </c>
      <c r="C5" s="287"/>
      <c r="E5"/>
    </row>
    <row r="6" spans="1:15">
      <c r="A6" s="290"/>
      <c r="B6" s="288" t="s">
        <v>78</v>
      </c>
      <c r="C6" s="287"/>
    </row>
    <row r="7" spans="1:15" ht="15.65" thickBot="1">
      <c r="A7" s="291"/>
      <c r="B7" s="292" t="s">
        <v>79</v>
      </c>
      <c r="C7" s="287"/>
    </row>
    <row r="8" spans="1:15" ht="15.65" thickBot="1">
      <c r="A8" s="287"/>
      <c r="B8" s="287"/>
      <c r="C8" s="287"/>
    </row>
    <row r="9" spans="1:15" ht="15.65" thickBot="1">
      <c r="A9" s="27" t="s">
        <v>0</v>
      </c>
      <c r="B9" s="28" t="s">
        <v>1</v>
      </c>
      <c r="C9" s="29" t="s">
        <v>2</v>
      </c>
    </row>
    <row r="10" spans="1:15" ht="15.65" thickBot="1">
      <c r="A10" s="293"/>
      <c r="B10" s="293"/>
      <c r="C10" s="293"/>
    </row>
    <row r="11" spans="1:15" ht="30.7" thickBot="1">
      <c r="A11" s="681" t="s">
        <v>385</v>
      </c>
      <c r="B11" s="668" t="s">
        <v>593</v>
      </c>
      <c r="C11" s="669" t="s">
        <v>583</v>
      </c>
    </row>
    <row r="12" spans="1:15" ht="30.7" thickBot="1">
      <c r="A12" s="682" t="s">
        <v>574</v>
      </c>
      <c r="B12" s="670" t="s">
        <v>594</v>
      </c>
      <c r="C12" s="670" t="s">
        <v>595</v>
      </c>
      <c r="O12"/>
    </row>
    <row r="13" spans="1:15" ht="38.200000000000003" thickBot="1">
      <c r="A13" s="681" t="s">
        <v>575</v>
      </c>
      <c r="B13" s="671" t="s">
        <v>596</v>
      </c>
      <c r="C13" s="672" t="s">
        <v>597</v>
      </c>
    </row>
    <row r="14" spans="1:15" ht="30.7" thickBot="1">
      <c r="A14" s="682" t="s">
        <v>386</v>
      </c>
      <c r="B14" s="670" t="s">
        <v>598</v>
      </c>
      <c r="C14" s="670" t="s">
        <v>599</v>
      </c>
    </row>
    <row r="15" spans="1:15" ht="45.7" thickBot="1">
      <c r="A15" s="690" t="s">
        <v>387</v>
      </c>
      <c r="B15" s="693" t="s">
        <v>600</v>
      </c>
      <c r="C15" s="670" t="s">
        <v>616</v>
      </c>
      <c r="K15"/>
    </row>
    <row r="16" spans="1:15" ht="75.150000000000006">
      <c r="A16" s="691" t="s">
        <v>388</v>
      </c>
      <c r="B16" s="694" t="s">
        <v>617</v>
      </c>
      <c r="C16" s="673" t="s">
        <v>601</v>
      </c>
      <c r="L16"/>
    </row>
    <row r="17" spans="1:16" ht="63.25" thickBot="1">
      <c r="A17" s="692" t="s">
        <v>581</v>
      </c>
      <c r="B17" s="695" t="s">
        <v>618</v>
      </c>
      <c r="C17" s="674" t="s">
        <v>602</v>
      </c>
    </row>
    <row r="18" spans="1:16" ht="30.7" thickBot="1">
      <c r="A18" s="682" t="s">
        <v>582</v>
      </c>
      <c r="B18" s="670" t="s">
        <v>603</v>
      </c>
      <c r="C18" s="670" t="s">
        <v>583</v>
      </c>
    </row>
    <row r="19" spans="1:16" ht="38.200000000000003" thickBot="1">
      <c r="A19" s="683" t="s">
        <v>576</v>
      </c>
      <c r="B19" s="671" t="s">
        <v>620</v>
      </c>
      <c r="C19" s="672" t="s">
        <v>604</v>
      </c>
    </row>
    <row r="20" spans="1:16" ht="38.200000000000003" thickBot="1">
      <c r="A20" s="684" t="s">
        <v>578</v>
      </c>
      <c r="B20" s="675" t="s">
        <v>605</v>
      </c>
      <c r="C20" s="676" t="s">
        <v>606</v>
      </c>
    </row>
    <row r="21" spans="1:16" ht="27.1" customHeight="1" thickBot="1">
      <c r="A21" s="696" t="s">
        <v>579</v>
      </c>
      <c r="B21" s="698" t="s">
        <v>607</v>
      </c>
      <c r="C21" s="677" t="s">
        <v>608</v>
      </c>
    </row>
    <row r="22" spans="1:16" ht="63.25" thickBot="1">
      <c r="A22" s="697" t="s">
        <v>577</v>
      </c>
      <c r="B22" s="699" t="s">
        <v>619</v>
      </c>
      <c r="C22" s="678" t="s">
        <v>609</v>
      </c>
      <c r="P22"/>
    </row>
    <row r="23" spans="1:16" ht="25.05">
      <c r="A23" s="684" t="s">
        <v>580</v>
      </c>
      <c r="B23" s="679" t="s">
        <v>610</v>
      </c>
      <c r="C23" s="680" t="s">
        <v>611</v>
      </c>
    </row>
    <row r="24" spans="1:16" ht="25.05">
      <c r="A24" s="684" t="s">
        <v>584</v>
      </c>
      <c r="B24" s="679" t="s">
        <v>585</v>
      </c>
      <c r="C24" s="680" t="s">
        <v>586</v>
      </c>
    </row>
    <row r="25" spans="1:16" ht="25.7" thickBot="1">
      <c r="A25" s="684" t="s">
        <v>587</v>
      </c>
      <c r="B25" s="675" t="s">
        <v>588</v>
      </c>
      <c r="C25" s="676" t="s">
        <v>589</v>
      </c>
      <c r="O25"/>
    </row>
    <row r="26" spans="1:16">
      <c r="A26" s="754" t="s">
        <v>612</v>
      </c>
      <c r="B26" s="752" t="s">
        <v>613</v>
      </c>
      <c r="C26" s="673" t="s">
        <v>614</v>
      </c>
    </row>
    <row r="27" spans="1:16" ht="15.65" thickBot="1">
      <c r="A27" s="755"/>
      <c r="B27" s="753"/>
      <c r="C27" s="294" t="s">
        <v>615</v>
      </c>
    </row>
    <row r="28" spans="1:16">
      <c r="A28" s="755"/>
      <c r="B28" s="753"/>
      <c r="C28" s="685"/>
    </row>
    <row r="29" spans="1:16">
      <c r="A29" s="293"/>
      <c r="B29" s="293"/>
      <c r="C29" s="293"/>
    </row>
    <row r="30" spans="1:16" ht="14.4" customHeight="1">
      <c r="A30" s="753"/>
      <c r="B30" s="753"/>
      <c r="C30" s="293"/>
    </row>
    <row r="31" spans="1:16">
      <c r="A31" s="753"/>
      <c r="B31" s="753"/>
      <c r="C31" s="293"/>
    </row>
    <row r="32" spans="1:16">
      <c r="A32" s="753"/>
      <c r="B32" s="753"/>
      <c r="C32" s="293"/>
    </row>
    <row r="33" spans="1:3">
      <c r="A33" s="686"/>
      <c r="B33" s="686"/>
      <c r="C33" s="293"/>
    </row>
    <row r="34" spans="1:3" ht="16.3" customHeight="1">
      <c r="A34" s="756"/>
      <c r="B34" s="750"/>
      <c r="C34" s="687"/>
    </row>
    <row r="35" spans="1:3">
      <c r="A35" s="756"/>
      <c r="B35" s="750"/>
      <c r="C35" s="687"/>
    </row>
    <row r="36" spans="1:3">
      <c r="A36" s="293"/>
      <c r="B36" s="293"/>
      <c r="C36" s="293"/>
    </row>
    <row r="37" spans="1:3">
      <c r="A37" s="751"/>
      <c r="B37" s="751"/>
      <c r="C37" s="687"/>
    </row>
    <row r="38" spans="1:3">
      <c r="A38" s="751"/>
      <c r="B38" s="751"/>
      <c r="C38" s="687"/>
    </row>
    <row r="39" spans="1:3">
      <c r="A39" s="751"/>
      <c r="B39" s="751"/>
      <c r="C39" s="687"/>
    </row>
    <row r="40" spans="1:3">
      <c r="A40" s="287"/>
      <c r="B40" s="287"/>
      <c r="C40" s="287"/>
    </row>
    <row r="41" spans="1:3">
      <c r="A41" s="287"/>
      <c r="B41" s="287"/>
      <c r="C41" s="287"/>
    </row>
    <row r="42" spans="1:3">
      <c r="A42" s="287"/>
      <c r="B42" s="287"/>
      <c r="C42" s="287"/>
    </row>
    <row r="43" spans="1:3">
      <c r="A43" s="287"/>
      <c r="B43" s="287"/>
      <c r="C43" s="287"/>
    </row>
    <row r="44" spans="1:3">
      <c r="A44" s="287"/>
      <c r="B44" s="287"/>
      <c r="C44" s="287"/>
    </row>
    <row r="45" spans="1:3">
      <c r="A45" s="750"/>
      <c r="B45" s="287"/>
      <c r="C45" s="287"/>
    </row>
    <row r="46" spans="1:3">
      <c r="A46" s="750"/>
      <c r="B46" s="287"/>
      <c r="C46" s="287"/>
    </row>
    <row r="47" spans="1:3">
      <c r="A47" s="750"/>
      <c r="B47" s="287"/>
      <c r="C47" s="287"/>
    </row>
    <row r="48" spans="1:3">
      <c r="A48" s="688"/>
      <c r="B48" s="689"/>
      <c r="C48" s="689"/>
    </row>
    <row r="49" spans="1:3">
      <c r="A49" s="688"/>
      <c r="B49" s="689"/>
      <c r="C49" s="689"/>
    </row>
    <row r="50" spans="1:3">
      <c r="A50" s="688"/>
      <c r="B50" s="689"/>
      <c r="C50" s="689"/>
    </row>
    <row r="51" spans="1:3">
      <c r="A51" s="688"/>
      <c r="B51" s="689"/>
      <c r="C51" s="689"/>
    </row>
  </sheetData>
  <sheetProtection algorithmName="SHA-512" hashValue="kEFlmXBO0MoLDK+TB0pss96FtAwGIIYB2PnoW+65wXbAZCznDyvAjYE5r9dAuBVDLshgnJFmp9ixVrJi5UK50A==" saltValue="gFbXXILPw92H+xq5Ak1Jpg==" spinCount="100000" sheet="1" objects="1" scenarios="1" sort="0" autoFilter="0"/>
  <mergeCells count="10">
    <mergeCell ref="A1:I1"/>
    <mergeCell ref="A45:A47"/>
    <mergeCell ref="A37:A39"/>
    <mergeCell ref="B37:B39"/>
    <mergeCell ref="B26:B28"/>
    <mergeCell ref="A26:A28"/>
    <mergeCell ref="A30:A32"/>
    <mergeCell ref="B30:B32"/>
    <mergeCell ref="B34:B35"/>
    <mergeCell ref="A34:A35"/>
  </mergeCell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EB244-D4A7-4721-85B1-C41B739CF079}">
  <dimension ref="A1:Z55"/>
  <sheetViews>
    <sheetView topLeftCell="A7" zoomScale="70" zoomScaleNormal="70" workbookViewId="0">
      <selection activeCell="X7" sqref="X7"/>
    </sheetView>
  </sheetViews>
  <sheetFormatPr baseColWidth="10" defaultColWidth="8.88671875" defaultRowHeight="15.05"/>
  <cols>
    <col min="1" max="1" width="25.6640625" customWidth="1"/>
    <col min="2" max="3" width="14.6640625" customWidth="1"/>
    <col min="4" max="4" width="14.6640625" style="151" customWidth="1"/>
    <col min="5" max="5" width="15.5546875" customWidth="1"/>
    <col min="6" max="6" width="13.33203125" customWidth="1"/>
    <col min="7" max="7" width="16.44140625" customWidth="1"/>
    <col min="20" max="20" width="24.109375" customWidth="1"/>
    <col min="21" max="21" width="16.6640625" customWidth="1"/>
    <col min="22" max="22" width="13" customWidth="1"/>
  </cols>
  <sheetData>
    <row r="1" spans="1:26" s="155" customFormat="1">
      <c r="A1" s="152"/>
      <c r="B1" s="153" t="s">
        <v>379</v>
      </c>
      <c r="C1" s="153" t="s">
        <v>450</v>
      </c>
      <c r="D1" s="153" t="s">
        <v>451</v>
      </c>
      <c r="E1" s="154"/>
      <c r="F1" s="154" t="s">
        <v>458</v>
      </c>
      <c r="G1" s="154" t="s">
        <v>459</v>
      </c>
      <c r="H1"/>
      <c r="I1"/>
      <c r="J1"/>
      <c r="K1"/>
      <c r="L1"/>
      <c r="M1"/>
      <c r="N1"/>
      <c r="O1"/>
      <c r="P1"/>
      <c r="Q1"/>
      <c r="R1"/>
      <c r="Z1"/>
    </row>
    <row r="2" spans="1:26">
      <c r="A2" s="152"/>
      <c r="B2" s="154" t="str">
        <f ca="1">IFERROR(IF('6. Analyse Pareto'!B4="","",'6. Analyse Pareto'!B4),"")</f>
        <v>Bolognaise</v>
      </c>
      <c r="C2" s="156">
        <f ca="1">IFERROR(IF('6. Analyse Pareto'!B4="",NA(),'6. Analyse Pareto'!C4),NA())</f>
        <v>2123.3962264150941</v>
      </c>
      <c r="D2" s="157">
        <f ca="1">IFERROR(IF('6. Analyse Pareto'!B4="",NA(),'6. Analyse Pareto'!F4),NA())</f>
        <v>0.71294341417372586</v>
      </c>
      <c r="E2" s="154"/>
      <c r="F2" s="154">
        <f ca="1">C20</f>
        <v>585.33018867924511</v>
      </c>
      <c r="G2" s="154">
        <f ca="1">C24</f>
        <v>0.71128511220580193</v>
      </c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</row>
    <row r="3" spans="1:26">
      <c r="A3" s="152"/>
      <c r="B3" s="154" t="str">
        <f ca="1">IFERROR(IF('6. Analyse Pareto'!B5="","",'6. Analyse Pareto'!B5),"")</f>
        <v>Coulis de tomate</v>
      </c>
      <c r="C3" s="156">
        <f ca="1">IFERROR(IF('6. Analyse Pareto'!B5="",NA(),'6. Analyse Pareto'!C5),NA())</f>
        <v>296.3962264150943</v>
      </c>
      <c r="D3" s="157">
        <f ca="1">IFERROR(IF('6. Analyse Pareto'!B5="",NA(),'6. Analyse Pareto'!F5),NA())</f>
        <v>0.7231652639322117</v>
      </c>
      <c r="E3" s="154"/>
      <c r="F3" s="154">
        <f ca="1">C20</f>
        <v>585.33018867924511</v>
      </c>
      <c r="G3" s="154">
        <f ca="1">C25</f>
        <v>0.7231652639322117</v>
      </c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</row>
    <row r="4" spans="1:26">
      <c r="A4" s="152"/>
      <c r="B4" s="154" t="str">
        <f ca="1">IFERROR(IF('6. Analyse Pareto'!B6="","",'6. Analyse Pareto'!B6),"")</f>
        <v>Pickels légumes</v>
      </c>
      <c r="C4" s="156">
        <f ca="1">IFERROR(IF('6. Analyse Pareto'!B6="",NA(),'6. Analyse Pareto'!C6),NA())</f>
        <v>296.3962264150943</v>
      </c>
      <c r="D4" s="157">
        <f ca="1">IFERROR(IF('6. Analyse Pareto'!B6="",NA(),'6. Analyse Pareto'!F6),NA())</f>
        <v>0.7231652639322117</v>
      </c>
      <c r="E4" s="154"/>
      <c r="F4" s="154"/>
      <c r="G4" s="154"/>
    </row>
    <row r="5" spans="1:26">
      <c r="A5" s="152"/>
      <c r="B5" s="154" t="str">
        <f ca="1">IFERROR(IF('6. Analyse Pareto'!B7="","",'6. Analyse Pareto'!B7),"")</f>
        <v>Potage legume feuille</v>
      </c>
      <c r="C5" s="156">
        <f ca="1">IFERROR(IF('6. Analyse Pareto'!B7="",NA(),'6. Analyse Pareto'!C7),NA())</f>
        <v>296.3962264150943</v>
      </c>
      <c r="D5" s="157">
        <f ca="1">IFERROR(IF('6. Analyse Pareto'!B7="",NA(),'6. Analyse Pareto'!F7),NA())</f>
        <v>0.7231652639322117</v>
      </c>
      <c r="E5" s="154"/>
      <c r="F5" s="154" t="s">
        <v>460</v>
      </c>
      <c r="G5" s="154" t="s">
        <v>461</v>
      </c>
    </row>
    <row r="6" spans="1:26">
      <c r="A6" s="152"/>
      <c r="B6" s="154" t="str">
        <f ca="1">IFERROR(IF('6. Analyse Pareto'!B8="","",'6. Analyse Pareto'!B8),"")</f>
        <v>Chutney carottes</v>
      </c>
      <c r="C6" s="156">
        <f ca="1">IFERROR(IF('6. Analyse Pareto'!B8="",NA(),'6. Analyse Pareto'!C8),NA())</f>
        <v>296.3962264150943</v>
      </c>
      <c r="D6" s="157">
        <f ca="1">IFERROR(IF('6. Analyse Pareto'!B8="",NA(),'6. Analyse Pareto'!F8),NA())</f>
        <v>0.7231652639322117</v>
      </c>
      <c r="E6" s="154"/>
      <c r="F6" s="154">
        <f ca="1">C22</f>
        <v>202.99999999999997</v>
      </c>
      <c r="G6" s="154">
        <f ca="1">C21</f>
        <v>0.71948159701806258</v>
      </c>
    </row>
    <row r="7" spans="1:26">
      <c r="A7" s="152"/>
      <c r="B7" s="154" t="str">
        <f ca="1">IFERROR(IF('6. Analyse Pareto'!B9="","",'6. Analyse Pareto'!B9),"")</f>
        <v>Marmelade agrumes</v>
      </c>
      <c r="C7" s="156">
        <f ca="1">IFERROR(IF('6. Analyse Pareto'!B9="",NA(),'6. Analyse Pareto'!C9),NA())</f>
        <v>202.99999999999997</v>
      </c>
      <c r="D7" s="157">
        <f ca="1">IFERROR(IF('6. Analyse Pareto'!B9="",NA(),'6. Analyse Pareto'!F9),NA())</f>
        <v>0.71128511220580193</v>
      </c>
      <c r="E7" s="154"/>
      <c r="F7" s="154">
        <f ca="1">C23</f>
        <v>2123.3962264150941</v>
      </c>
      <c r="G7" s="154">
        <f ca="1">C21</f>
        <v>0.71948159701806258</v>
      </c>
    </row>
    <row r="8" spans="1:26">
      <c r="A8" s="152"/>
      <c r="B8" s="154" t="str">
        <f>IFERROR(IF('6. Analyse Pareto'!B10="","",'6. Analyse Pareto'!B10),"")</f>
        <v/>
      </c>
      <c r="C8" s="156" t="e">
        <f>IFERROR(IF('6. Analyse Pareto'!B10="",NA(),'6. Analyse Pareto'!C10),NA())</f>
        <v>#N/A</v>
      </c>
      <c r="D8" s="157" t="e">
        <f>IFERROR(IF('6. Analyse Pareto'!B10="",NA(),'6. Analyse Pareto'!F10),NA())</f>
        <v>#N/A</v>
      </c>
      <c r="E8" s="154"/>
      <c r="F8" s="154"/>
      <c r="G8" s="154"/>
    </row>
    <row r="9" spans="1:26">
      <c r="A9" s="152"/>
      <c r="B9" s="154" t="str">
        <f>IFERROR(IF('6. Analyse Pareto'!B11="","",'6. Analyse Pareto'!B11),"")</f>
        <v/>
      </c>
      <c r="C9" s="156" t="e">
        <f>IFERROR(IF('6. Analyse Pareto'!B11="",NA(),'6. Analyse Pareto'!C11),NA())</f>
        <v>#N/A</v>
      </c>
      <c r="D9" s="157" t="e">
        <f>IFERROR(IF('6. Analyse Pareto'!B11="",NA(),'6. Analyse Pareto'!F11),NA())</f>
        <v>#N/A</v>
      </c>
      <c r="E9" s="154"/>
      <c r="F9" s="154"/>
      <c r="G9" s="154"/>
    </row>
    <row r="10" spans="1:26">
      <c r="A10" s="152"/>
      <c r="B10" s="154" t="str">
        <f>IFERROR(IF('6. Analyse Pareto'!B12="","",'6. Analyse Pareto'!B12),"")</f>
        <v/>
      </c>
      <c r="C10" s="156" t="e">
        <f>IFERROR(IF('6. Analyse Pareto'!B12="",NA(),'6. Analyse Pareto'!C12),NA())</f>
        <v>#N/A</v>
      </c>
      <c r="D10" s="157" t="e">
        <f>IFERROR(IF('6. Analyse Pareto'!B12="",NA(),'6. Analyse Pareto'!F12),NA())</f>
        <v>#N/A</v>
      </c>
      <c r="E10" s="154"/>
      <c r="F10" s="154"/>
      <c r="G10" s="154"/>
    </row>
    <row r="11" spans="1:26">
      <c r="A11" s="152"/>
      <c r="B11" s="154" t="str">
        <f>IFERROR(IF('6. Analyse Pareto'!B13="","",'6. Analyse Pareto'!B13),"")</f>
        <v/>
      </c>
      <c r="C11" s="156" t="e">
        <f>IFERROR(IF('6. Analyse Pareto'!B13="",NA(),'6. Analyse Pareto'!C13),NA())</f>
        <v>#N/A</v>
      </c>
      <c r="D11" s="157" t="e">
        <f>IFERROR(IF('6. Analyse Pareto'!B13="",NA(),'6. Analyse Pareto'!F13),NA())</f>
        <v>#N/A</v>
      </c>
      <c r="E11" s="154"/>
      <c r="F11" s="154"/>
      <c r="G11" s="154"/>
    </row>
    <row r="12" spans="1:26">
      <c r="A12" s="152"/>
      <c r="B12" s="154" t="str">
        <f>IFERROR(IF('6. Analyse Pareto'!B14="","",'6. Analyse Pareto'!B14),"")</f>
        <v/>
      </c>
      <c r="C12" s="156" t="e">
        <f>IFERROR(IF('6. Analyse Pareto'!B14="",NA(),'6. Analyse Pareto'!C14),NA())</f>
        <v>#N/A</v>
      </c>
      <c r="D12" s="157" t="e">
        <f>IFERROR(IF('6. Analyse Pareto'!B14="",NA(),'6. Analyse Pareto'!F14),NA())</f>
        <v>#N/A</v>
      </c>
      <c r="E12" s="154"/>
      <c r="F12" s="154"/>
      <c r="G12" s="154"/>
    </row>
    <row r="13" spans="1:26">
      <c r="A13" s="152"/>
      <c r="B13" s="154" t="str">
        <f>IFERROR(IF('6. Analyse Pareto'!B15="","",'6. Analyse Pareto'!B15),"")</f>
        <v/>
      </c>
      <c r="C13" s="156" t="e">
        <f>IFERROR(IF('6. Analyse Pareto'!B15="",NA(),'6. Analyse Pareto'!C15),NA())</f>
        <v>#N/A</v>
      </c>
      <c r="D13" s="157" t="e">
        <f>IFERROR(IF('6. Analyse Pareto'!B15="",NA(),'6. Analyse Pareto'!F15),NA())</f>
        <v>#N/A</v>
      </c>
      <c r="E13" s="154"/>
      <c r="F13" s="154"/>
      <c r="G13" s="154"/>
    </row>
    <row r="14" spans="1:26">
      <c r="A14" s="152"/>
      <c r="B14" s="154" t="str">
        <f>IFERROR(IF('6. Analyse Pareto'!B16="","",'6. Analyse Pareto'!B16),"")</f>
        <v/>
      </c>
      <c r="C14" s="156" t="e">
        <f>IFERROR(IF('6. Analyse Pareto'!B16="",NA(),'6. Analyse Pareto'!C16),NA())</f>
        <v>#N/A</v>
      </c>
      <c r="D14" s="157" t="e">
        <f>IFERROR(IF('6. Analyse Pareto'!B16="",NA(),'6. Analyse Pareto'!F16),NA())</f>
        <v>#N/A</v>
      </c>
      <c r="E14" s="154"/>
      <c r="F14" s="154"/>
      <c r="G14" s="154"/>
    </row>
    <row r="15" spans="1:26">
      <c r="A15" s="152"/>
      <c r="B15" s="154" t="str">
        <f>IFERROR(IF('6. Analyse Pareto'!B17="","",'6. Analyse Pareto'!B17),"")</f>
        <v/>
      </c>
      <c r="C15" s="156" t="e">
        <f>IFERROR(IF('6. Analyse Pareto'!B17="",NA(),'6. Analyse Pareto'!C17),NA())</f>
        <v>#N/A</v>
      </c>
      <c r="D15" s="157" t="e">
        <f>IFERROR(IF('6. Analyse Pareto'!B17="",NA(),'6. Analyse Pareto'!F17),NA())</f>
        <v>#N/A</v>
      </c>
      <c r="E15" s="154"/>
      <c r="F15" s="154"/>
      <c r="G15" s="154"/>
    </row>
    <row r="16" spans="1:26">
      <c r="A16" s="152"/>
      <c r="B16" s="154" t="str">
        <f>IFERROR(IF('6. Analyse Pareto'!B18="","",'6. Analyse Pareto'!B18),"")</f>
        <v/>
      </c>
      <c r="C16" s="156" t="e">
        <f>IFERROR(IF('6. Analyse Pareto'!B18="",NA(),'6. Analyse Pareto'!C18),NA())</f>
        <v>#N/A</v>
      </c>
      <c r="D16" s="157" t="e">
        <f>IFERROR(IF('6. Analyse Pareto'!B18="",NA(),'6. Analyse Pareto'!F18),NA())</f>
        <v>#N/A</v>
      </c>
      <c r="E16" s="154"/>
      <c r="F16" s="154"/>
      <c r="G16" s="154"/>
    </row>
    <row r="17" spans="1:7">
      <c r="A17" s="152"/>
      <c r="B17" s="154" t="str">
        <f>IFERROR(IF('6. Analyse Pareto'!B19="","",'6. Analyse Pareto'!B19),"")</f>
        <v/>
      </c>
      <c r="C17" s="156" t="e">
        <f>IFERROR(IF('6. Analyse Pareto'!B19="",NA(),'6. Analyse Pareto'!C19),NA())</f>
        <v>#N/A</v>
      </c>
      <c r="D17" s="157" t="e">
        <f>IFERROR(IF('6. Analyse Pareto'!B19="",NA(),'6. Analyse Pareto'!F19),NA())</f>
        <v>#N/A</v>
      </c>
      <c r="E17" s="154"/>
      <c r="F17" s="154"/>
      <c r="G17" s="154"/>
    </row>
    <row r="18" spans="1:7">
      <c r="A18" s="152"/>
      <c r="B18" s="154"/>
      <c r="C18" s="154"/>
      <c r="D18" s="154"/>
      <c r="E18" s="154"/>
      <c r="F18" s="154"/>
      <c r="G18" s="154"/>
    </row>
    <row r="19" spans="1:7">
      <c r="A19" s="154"/>
      <c r="B19" s="154"/>
      <c r="C19" s="154"/>
      <c r="D19" s="154"/>
      <c r="E19" s="154"/>
      <c r="F19" s="154"/>
      <c r="G19" s="154"/>
    </row>
    <row r="20" spans="1:7">
      <c r="A20" s="154"/>
      <c r="B20" s="154" t="s">
        <v>452</v>
      </c>
      <c r="C20" s="156">
        <f ca="1">IFERROR(_xlfn.AGGREGATE(1,6,C2:C17),0)</f>
        <v>585.33018867924511</v>
      </c>
      <c r="D20" s="154"/>
      <c r="E20" s="154"/>
      <c r="F20" s="154"/>
      <c r="G20" s="154"/>
    </row>
    <row r="21" spans="1:7">
      <c r="A21" s="154"/>
      <c r="B21" s="154" t="s">
        <v>453</v>
      </c>
      <c r="C21" s="157">
        <f ca="1">IFERROR(_xlfn.AGGREGATE(1,6,D2:D17),0)</f>
        <v>0.71948159701806258</v>
      </c>
      <c r="D21" s="154"/>
      <c r="E21" s="154"/>
      <c r="F21" s="154"/>
      <c r="G21" s="154"/>
    </row>
    <row r="22" spans="1:7">
      <c r="A22" s="154"/>
      <c r="B22" s="154" t="s">
        <v>454</v>
      </c>
      <c r="C22" s="156">
        <f ca="1">IFERROR(_xlfn.AGGREGATE(5,6,C2:C17),0)</f>
        <v>202.99999999999997</v>
      </c>
      <c r="D22" s="154"/>
      <c r="E22" s="154"/>
      <c r="F22" s="154"/>
      <c r="G22" s="154"/>
    </row>
    <row r="23" spans="1:7">
      <c r="A23" s="154"/>
      <c r="B23" s="154" t="s">
        <v>455</v>
      </c>
      <c r="C23" s="156">
        <f ca="1">IFERROR(_xlfn.AGGREGATE(4,6,C2:C17),0)</f>
        <v>2123.3962264150941</v>
      </c>
      <c r="D23" s="154"/>
      <c r="E23" s="154"/>
      <c r="F23" s="154"/>
      <c r="G23" s="154"/>
    </row>
    <row r="24" spans="1:7">
      <c r="A24" s="154"/>
      <c r="B24" s="154" t="s">
        <v>456</v>
      </c>
      <c r="C24" s="157">
        <f ca="1">IFERROR(_xlfn.AGGREGATE(5,6,D2:D17),0)</f>
        <v>0.71128511220580193</v>
      </c>
      <c r="D24" s="154"/>
      <c r="E24" s="154"/>
      <c r="F24" s="154"/>
      <c r="G24" s="154"/>
    </row>
    <row r="25" spans="1:7">
      <c r="A25" s="154"/>
      <c r="B25" s="154" t="s">
        <v>457</v>
      </c>
      <c r="C25" s="157">
        <f ca="1">IFERROR(_xlfn.AGGREGATE(4,6,D2:D17),0)</f>
        <v>0.7231652639322117</v>
      </c>
      <c r="D25" s="154"/>
      <c r="E25" s="154"/>
      <c r="F25" s="154"/>
      <c r="G25" s="154"/>
    </row>
    <row r="26" spans="1:7">
      <c r="A26" s="159"/>
      <c r="B26" s="159"/>
      <c r="C26" s="160"/>
      <c r="D26" s="160"/>
      <c r="E26" s="159"/>
    </row>
    <row r="27" spans="1:7">
      <c r="A27" s="159"/>
      <c r="B27" s="159"/>
      <c r="C27" s="160"/>
      <c r="D27" s="160"/>
      <c r="E27" s="159"/>
    </row>
    <row r="28" spans="1:7">
      <c r="A28" s="159"/>
      <c r="B28" s="159"/>
      <c r="C28" s="160"/>
      <c r="D28" s="160"/>
      <c r="E28" s="159"/>
    </row>
    <row r="29" spans="1:7">
      <c r="A29" s="159"/>
      <c r="B29" s="159"/>
      <c r="C29" s="160"/>
      <c r="D29" s="160"/>
      <c r="E29" s="159"/>
    </row>
    <row r="30" spans="1:7">
      <c r="A30" s="159"/>
      <c r="B30" s="159"/>
      <c r="C30" s="160"/>
      <c r="D30" s="160"/>
      <c r="E30" s="159"/>
    </row>
    <row r="31" spans="1:7">
      <c r="A31" s="159"/>
      <c r="B31" s="159"/>
      <c r="C31" s="160"/>
      <c r="D31" s="160"/>
      <c r="E31" s="159"/>
    </row>
    <row r="32" spans="1:7">
      <c r="A32" s="159"/>
      <c r="B32" s="159"/>
      <c r="C32" s="160"/>
      <c r="D32" s="160"/>
      <c r="E32" s="159"/>
    </row>
    <row r="33" spans="1:5">
      <c r="A33" s="159"/>
      <c r="B33" s="159"/>
      <c r="C33" s="160"/>
      <c r="D33" s="160"/>
      <c r="E33" s="159"/>
    </row>
    <row r="34" spans="1:5">
      <c r="A34" s="159"/>
      <c r="B34" s="159"/>
      <c r="C34" s="160"/>
      <c r="D34" s="160"/>
      <c r="E34" s="159"/>
    </row>
    <row r="35" spans="1:5">
      <c r="A35" s="159"/>
      <c r="B35" s="159"/>
      <c r="C35" s="160"/>
      <c r="D35" s="160"/>
      <c r="E35" s="159"/>
    </row>
    <row r="36" spans="1:5">
      <c r="A36" s="159"/>
      <c r="B36" s="159"/>
      <c r="C36" s="160"/>
      <c r="D36" s="160"/>
      <c r="E36" s="159"/>
    </row>
    <row r="37" spans="1:5">
      <c r="A37" s="159"/>
      <c r="B37" s="159"/>
      <c r="C37" s="160"/>
      <c r="D37" s="160"/>
      <c r="E37" s="159"/>
    </row>
    <row r="38" spans="1:5">
      <c r="A38" s="159"/>
      <c r="B38" s="159"/>
      <c r="C38" s="160"/>
      <c r="D38" s="160"/>
      <c r="E38" s="159"/>
    </row>
    <row r="39" spans="1:5">
      <c r="A39" s="159"/>
      <c r="B39" s="159"/>
      <c r="C39" s="160"/>
      <c r="D39" s="160"/>
      <c r="E39" s="159"/>
    </row>
    <row r="40" spans="1:5">
      <c r="A40" s="159"/>
      <c r="B40" s="159"/>
      <c r="C40" s="159"/>
      <c r="D40" s="161"/>
      <c r="E40" s="159"/>
    </row>
    <row r="41" spans="1:5">
      <c r="A41" s="159"/>
      <c r="B41" s="159"/>
      <c r="C41" s="159"/>
      <c r="D41" s="161"/>
      <c r="E41" s="159"/>
    </row>
    <row r="48" spans="1:5">
      <c r="A48" s="154"/>
      <c r="B48" s="162"/>
      <c r="C48" s="154"/>
      <c r="D48" s="157"/>
    </row>
    <row r="49" spans="1:4">
      <c r="A49" s="154"/>
      <c r="B49" s="163"/>
      <c r="C49" s="154"/>
      <c r="D49" s="157"/>
    </row>
    <row r="50" spans="1:4">
      <c r="A50" s="154"/>
      <c r="B50" s="154"/>
      <c r="C50" s="154"/>
      <c r="D50" s="157"/>
    </row>
    <row r="51" spans="1:4">
      <c r="A51" s="154"/>
      <c r="B51" s="164"/>
      <c r="C51" s="162"/>
      <c r="D51" s="157"/>
    </row>
    <row r="52" spans="1:4">
      <c r="A52" s="154"/>
      <c r="B52" s="162"/>
      <c r="C52" s="162"/>
      <c r="D52" s="157"/>
    </row>
    <row r="53" spans="1:4">
      <c r="A53" s="154"/>
      <c r="B53" s="154"/>
      <c r="C53" s="154"/>
      <c r="D53" s="157"/>
    </row>
    <row r="54" spans="1:4">
      <c r="A54" s="154"/>
      <c r="B54" s="162"/>
      <c r="C54" s="164"/>
      <c r="D54" s="157"/>
    </row>
    <row r="55" spans="1:4">
      <c r="A55" s="154"/>
      <c r="B55" s="162"/>
      <c r="C55" s="164"/>
      <c r="D55" s="157"/>
    </row>
  </sheetData>
  <sheetProtection algorithmName="SHA-512" hashValue="PD/55KiDRM2jGIcw0o0RIc4u37QgC2/ceRC8Z2OYErWjVkMyDFF62xgzpHt1kfX8nuN5ZkZlHWEstwqON0VtAQ==" saltValue="mFHxm/AZEUxklvNiTcO02g==" spinCount="100000" sheet="1" objects="1" scenarios="1" sort="0" autoFilter="0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19C2E-79A1-4B52-B185-E41A8B4B9D71}">
  <dimension ref="A1:Y76"/>
  <sheetViews>
    <sheetView topLeftCell="A32" zoomScale="85" zoomScaleNormal="85" workbookViewId="0">
      <selection activeCell="T37" sqref="T37"/>
    </sheetView>
  </sheetViews>
  <sheetFormatPr baseColWidth="10" defaultRowHeight="15.05" outlineLevelCol="1"/>
  <cols>
    <col min="1" max="1" width="16.6640625" customWidth="1"/>
    <col min="2" max="2" width="18.5546875" customWidth="1"/>
    <col min="3" max="4" width="16.6640625" customWidth="1"/>
    <col min="5" max="5" width="13.88671875" customWidth="1"/>
    <col min="10" max="10" width="11.5546875" hidden="1" customWidth="1" outlineLevel="1"/>
    <col min="11" max="11" width="12.88671875" hidden="1" customWidth="1" outlineLevel="1"/>
    <col min="12" max="17" width="11.5546875" hidden="1" customWidth="1" outlineLevel="1"/>
    <col min="18" max="18" width="11.5546875" collapsed="1"/>
  </cols>
  <sheetData>
    <row r="1" spans="1:24" ht="14.4" customHeight="1">
      <c r="A1" s="165"/>
      <c r="B1" s="841" t="s">
        <v>570</v>
      </c>
      <c r="C1" s="841"/>
      <c r="D1" s="841"/>
      <c r="E1" s="841"/>
      <c r="F1" s="841"/>
      <c r="G1" s="841"/>
      <c r="H1" s="841"/>
      <c r="I1" s="841"/>
      <c r="J1" s="841"/>
      <c r="K1" s="841"/>
      <c r="L1" s="841"/>
      <c r="M1" s="841"/>
      <c r="N1" s="841"/>
      <c r="O1" s="841"/>
      <c r="P1" s="841"/>
      <c r="Q1" s="841"/>
      <c r="R1" s="842"/>
      <c r="S1" s="165"/>
      <c r="T1" s="165"/>
      <c r="U1" s="165"/>
      <c r="V1" s="165"/>
      <c r="W1" s="165"/>
      <c r="X1" s="297"/>
    </row>
    <row r="2" spans="1:24" ht="22.85" customHeight="1">
      <c r="A2" s="165"/>
      <c r="B2" s="841"/>
      <c r="C2" s="841"/>
      <c r="D2" s="841"/>
      <c r="E2" s="841"/>
      <c r="F2" s="841"/>
      <c r="G2" s="841"/>
      <c r="H2" s="841"/>
      <c r="I2" s="841"/>
      <c r="J2" s="841"/>
      <c r="K2" s="841"/>
      <c r="L2" s="841"/>
      <c r="M2" s="841"/>
      <c r="N2" s="841"/>
      <c r="O2" s="841"/>
      <c r="P2" s="841"/>
      <c r="Q2" s="841"/>
      <c r="R2" s="842"/>
      <c r="S2" s="165"/>
      <c r="T2" s="165"/>
      <c r="U2" s="165"/>
      <c r="V2" s="165"/>
      <c r="W2" s="165"/>
      <c r="X2" s="297"/>
    </row>
    <row r="3" spans="1:24" ht="37.9" customHeight="1">
      <c r="A3" s="166" t="s">
        <v>192</v>
      </c>
      <c r="B3" s="166" t="s">
        <v>426</v>
      </c>
      <c r="C3" s="167" t="s">
        <v>311</v>
      </c>
      <c r="D3" s="168" t="s">
        <v>312</v>
      </c>
      <c r="E3" s="168" t="s">
        <v>313</v>
      </c>
      <c r="F3" s="168" t="s">
        <v>314</v>
      </c>
      <c r="G3" s="169" t="s">
        <v>315</v>
      </c>
      <c r="H3" s="168" t="s">
        <v>316</v>
      </c>
      <c r="I3" s="168" t="s">
        <v>317</v>
      </c>
      <c r="J3" s="168" t="s">
        <v>318</v>
      </c>
      <c r="K3" s="169" t="s">
        <v>319</v>
      </c>
      <c r="L3" s="168" t="s">
        <v>320</v>
      </c>
      <c r="M3" s="168" t="s">
        <v>321</v>
      </c>
      <c r="N3" s="168" t="s">
        <v>322</v>
      </c>
      <c r="O3" s="168" t="s">
        <v>323</v>
      </c>
      <c r="P3" s="168" t="s">
        <v>324</v>
      </c>
      <c r="Q3" s="168" t="s">
        <v>325</v>
      </c>
      <c r="R3" s="168" t="s">
        <v>326</v>
      </c>
      <c r="S3" s="405"/>
      <c r="T3" s="375"/>
      <c r="U3" s="375"/>
      <c r="V3" s="297"/>
      <c r="W3" s="297"/>
      <c r="X3" s="297"/>
    </row>
    <row r="4" spans="1:24" ht="27.55" customHeight="1">
      <c r="A4" s="112" t="s">
        <v>23</v>
      </c>
      <c r="B4" s="112" t="str">
        <f>IFERROR(_xlfn.XLOOKUP(A4,Listes!$F$2:$F$46,Listes!$G$2:$G$46,""),"")</f>
        <v>C3</v>
      </c>
      <c r="C4" s="114" t="str" cm="1">
        <f t="array" aca="1" ref="C4" ca="1">IFERROR(INDIRECT("'" &amp; C$3 &amp; "'!" &amp; $B4),"")</f>
        <v>Coulis de tomate</v>
      </c>
      <c r="D4" s="114" t="str" cm="1">
        <f t="array" aca="1" ref="D4" ca="1">IFERROR(INDIRECT("'" &amp; D$3 &amp; "'!" &amp; $B4),"")</f>
        <v>Pickels légumes</v>
      </c>
      <c r="E4" s="114" t="str" cm="1">
        <f t="array" aca="1" ref="E4" ca="1">IFERROR(INDIRECT("'" &amp; E$3 &amp; "'!" &amp; $B4),"")</f>
        <v>Potage legume feuille</v>
      </c>
      <c r="F4" s="114" t="str" cm="1">
        <f t="array" aca="1" ref="F4" ca="1">IFERROR(INDIRECT("'" &amp; F$3 &amp; "'!" &amp; $B4),"")</f>
        <v>Bolognaise</v>
      </c>
      <c r="G4" s="114" t="str" cm="1">
        <f t="array" aca="1" ref="G4" ca="1">IFERROR(INDIRECT("'" &amp; G$3 &amp; "'!" &amp; $B4),"")</f>
        <v>Chutney carottes</v>
      </c>
      <c r="H4" s="114" t="str" cm="1">
        <f t="array" aca="1" ref="H4" ca="1">IFERROR(INDIRECT("'" &amp; H$3 &amp; "'!" &amp; $B4),"")</f>
        <v>Marmelade agrumes</v>
      </c>
      <c r="I4" s="114" t="str" cm="1">
        <f t="array" aca="1" ref="I4" ca="1">IFERROR(INDIRECT("'" &amp;#REF! &amp; "'!" &amp; $B4),"")</f>
        <v/>
      </c>
      <c r="J4" s="114" t="str" cm="1">
        <f t="array" aca="1" ref="J4" ca="1">IFERROR(INDIRECT("'" &amp;#REF! &amp; "'!" &amp; $B4),"")</f>
        <v/>
      </c>
      <c r="K4" s="114" t="str" cm="1">
        <f t="array" aca="1" ref="K4" ca="1">IFERROR(INDIRECT("'" &amp;#REF! &amp; "'!" &amp; $B4),"")</f>
        <v/>
      </c>
      <c r="L4" s="114" t="str" cm="1">
        <f t="array" aca="1" ref="L4" ca="1">IFERROR(INDIRECT("'" &amp;#REF! &amp; "'!" &amp; $B4),"")</f>
        <v/>
      </c>
      <c r="M4" s="114" t="str" cm="1">
        <f t="array" aca="1" ref="M4" ca="1">IFERROR(INDIRECT("'" &amp;#REF! &amp; "'!" &amp; $B4),"")</f>
        <v/>
      </c>
      <c r="N4" s="114" t="str" cm="1">
        <f t="array" aca="1" ref="N4" ca="1">IFERROR(INDIRECT("'" &amp;#REF! &amp; "'!" &amp; $B4),"")</f>
        <v/>
      </c>
      <c r="O4" s="114" t="str" cm="1">
        <f t="array" aca="1" ref="O4" ca="1">IFERROR(INDIRECT("'" &amp;#REF! &amp; "'!" &amp; $B4),"")</f>
        <v/>
      </c>
      <c r="P4" s="114" t="str" cm="1">
        <f t="array" aca="1" ref="P4" ca="1">IFERROR(INDIRECT("'" &amp;#REF! &amp; "'!" &amp; $B4),"")</f>
        <v/>
      </c>
      <c r="Q4" s="114" t="str" cm="1">
        <f t="array" aca="1" ref="Q4" ca="1">IFERROR(INDIRECT("'" &amp;#REF! &amp; "'!" &amp; $B4),"")</f>
        <v/>
      </c>
      <c r="R4" s="114" t="str" cm="1">
        <f t="array" aca="1" ref="R4" ca="1">IFERROR(INDIRECT("'" &amp;#REF! &amp; "'!" &amp; $B4),"")</f>
        <v/>
      </c>
      <c r="S4" s="406"/>
      <c r="T4" s="375"/>
      <c r="U4" s="375"/>
      <c r="V4" s="297"/>
      <c r="W4" s="297"/>
      <c r="X4" s="297"/>
    </row>
    <row r="5" spans="1:24" ht="16.75" customHeight="1">
      <c r="A5" s="112" t="s">
        <v>181</v>
      </c>
      <c r="B5" s="112" t="str">
        <f>IFERROR(_xlfn.XLOOKUP(A5,Listes!$F$2:$F$46,Listes!$G$2:$G$46,""),"")</f>
        <v>D6</v>
      </c>
      <c r="C5" s="114" cm="1">
        <f t="array" aca="1" ref="C5" ca="1">IFERROR(INDIRECT("'" &amp; C$3 &amp; "'!" &amp; $B5),"")</f>
        <v>0.2</v>
      </c>
      <c r="D5" s="114" cm="1">
        <f t="array" aca="1" ref="D5" ca="1">IFERROR(INDIRECT("'" &amp; D$3 &amp; "'!" &amp; $B5),"")</f>
        <v>0.2</v>
      </c>
      <c r="E5" s="114" cm="1">
        <f t="array" aca="1" ref="E5" ca="1">IFERROR(INDIRECT("'" &amp; E$3 &amp; "'!" &amp; $B5),"")</f>
        <v>0.2</v>
      </c>
      <c r="F5" s="114" cm="1">
        <f t="array" aca="1" ref="F5" ca="1">IFERROR(INDIRECT("'" &amp; F$3 &amp; "'!" &amp; $B5),"")</f>
        <v>0.2</v>
      </c>
      <c r="G5" s="114" cm="1">
        <f t="array" aca="1" ref="G5" ca="1">IFERROR(INDIRECT("'" &amp; G$3 &amp; "'!" &amp; $B5),"")</f>
        <v>0.2</v>
      </c>
      <c r="H5" s="114" cm="1">
        <f t="array" aca="1" ref="H5" ca="1">IFERROR(INDIRECT("'" &amp; H$3 &amp; "'!" &amp; $B5),"")</f>
        <v>0.2</v>
      </c>
      <c r="I5" s="114" cm="1">
        <f t="array" aca="1" ref="I5" ca="1">IFERROR(INDIRECT("'" &amp; I$3 &amp; "'!" &amp; $B5),"")</f>
        <v>0.2</v>
      </c>
      <c r="J5" s="114" cm="1">
        <f t="array" aca="1" ref="J5" ca="1">IFERROR(INDIRECT("'" &amp; J$3 &amp; "'!" &amp; $B5),"")</f>
        <v>0.2</v>
      </c>
      <c r="K5" s="114" t="str" cm="1">
        <f t="array" aca="1" ref="K5" ca="1">IFERROR(INDIRECT("'" &amp; K$3 &amp; "'!" &amp; $B5),"")</f>
        <v/>
      </c>
      <c r="L5" s="114" t="str" cm="1">
        <f t="array" aca="1" ref="L5" ca="1">IFERROR(INDIRECT("'" &amp; L$3 &amp; "'!" &amp; $B5),"")</f>
        <v/>
      </c>
      <c r="M5" s="114" t="str" cm="1">
        <f t="array" aca="1" ref="M5" ca="1">IFERROR(INDIRECT("'" &amp; M$3 &amp; "'!" &amp; $B5),"")</f>
        <v/>
      </c>
      <c r="N5" s="114" t="str" cm="1">
        <f t="array" aca="1" ref="N5" ca="1">IFERROR(INDIRECT("'" &amp; N$3 &amp; "'!" &amp; $B5),"")</f>
        <v/>
      </c>
      <c r="O5" s="114" t="str" cm="1">
        <f t="array" aca="1" ref="O5" ca="1">IFERROR(INDIRECT("'" &amp; O$3 &amp; "'!" &amp; $B5),"")</f>
        <v/>
      </c>
      <c r="P5" s="114" t="str" cm="1">
        <f t="array" aca="1" ref="P5" ca="1">IFERROR(INDIRECT("'" &amp; P$3 &amp; "'!" &amp; $B5),"")</f>
        <v/>
      </c>
      <c r="Q5" s="114" t="str" cm="1">
        <f t="array" aca="1" ref="Q5" ca="1">IFERROR(INDIRECT("'" &amp; Q$3 &amp; "'!" &amp; $B5),"")</f>
        <v/>
      </c>
      <c r="R5" s="114" t="str" cm="1">
        <f t="array" aca="1" ref="R5" ca="1">IFERROR(INDIRECT("'" &amp; R$3 &amp; "'!" &amp; $B5),"")</f>
        <v/>
      </c>
      <c r="S5" s="406"/>
      <c r="T5" s="375"/>
      <c r="U5" s="375"/>
      <c r="V5" s="297"/>
      <c r="W5" s="297"/>
      <c r="X5" s="297"/>
    </row>
    <row r="6" spans="1:24">
      <c r="A6" s="112" t="s">
        <v>182</v>
      </c>
      <c r="B6" s="112" t="str">
        <f>IFERROR(_xlfn.XLOOKUP(A6,Listes!$F$2:$F$46,Listes!$G$2:$G$46,""),"")</f>
        <v>D5</v>
      </c>
      <c r="C6" s="114" cm="1">
        <f t="array" aca="1" ref="C6" ca="1">IFERROR(INDIRECT("'" &amp; C$3 &amp; "'!" &amp; $B6),"")</f>
        <v>50</v>
      </c>
      <c r="D6" s="114" cm="1">
        <f t="array" aca="1" ref="D6" ca="1">IFERROR(INDIRECT("'" &amp; D$3 &amp; "'!" &amp; $B6),"")</f>
        <v>50</v>
      </c>
      <c r="E6" s="114" cm="1">
        <f t="array" aca="1" ref="E6" ca="1">IFERROR(INDIRECT("'" &amp; E$3 &amp; "'!" &amp; $B6),"")</f>
        <v>50</v>
      </c>
      <c r="F6" s="114" cm="1">
        <f t="array" aca="1" ref="F6" ca="1">IFERROR(INDIRECT("'" &amp; F$3 &amp; "'!" &amp; $B6),"")</f>
        <v>50</v>
      </c>
      <c r="G6" s="114" cm="1">
        <f t="array" aca="1" ref="G6" ca="1">IFERROR(INDIRECT("'" &amp; G$3 &amp; "'!" &amp; $B6),"")</f>
        <v>50</v>
      </c>
      <c r="H6" s="114" cm="1">
        <f t="array" aca="1" ref="H6" ca="1">IFERROR(INDIRECT("'" &amp; H$3 &amp; "'!" &amp; $B6),"")</f>
        <v>50</v>
      </c>
      <c r="I6" s="114" cm="1">
        <f t="array" aca="1" ref="I6" ca="1">IFERROR(INDIRECT("'" &amp; I$3 &amp; "'!" &amp; $B6),"")</f>
        <v>50</v>
      </c>
      <c r="J6" s="114" cm="1">
        <f t="array" aca="1" ref="J6" ca="1">IFERROR(INDIRECT("'" &amp; J$3 &amp; "'!" &amp; $B6),"")</f>
        <v>50</v>
      </c>
      <c r="K6" s="114" t="str" cm="1">
        <f t="array" aca="1" ref="K6" ca="1">IFERROR(INDIRECT("'" &amp; K$3 &amp; "'!" &amp; $B6),"")</f>
        <v/>
      </c>
      <c r="L6" s="114" t="str" cm="1">
        <f t="array" aca="1" ref="L6" ca="1">IFERROR(INDIRECT("'" &amp; L$3 &amp; "'!" &amp; $B6),"")</f>
        <v/>
      </c>
      <c r="M6" s="114" t="str" cm="1">
        <f t="array" aca="1" ref="M6" ca="1">IFERROR(INDIRECT("'" &amp; M$3 &amp; "'!" &amp; $B6),"")</f>
        <v/>
      </c>
      <c r="N6" s="114" t="str" cm="1">
        <f t="array" aca="1" ref="N6" ca="1">IFERROR(INDIRECT("'" &amp; N$3 &amp; "'!" &amp; $B6),"")</f>
        <v/>
      </c>
      <c r="O6" s="114" t="str" cm="1">
        <f t="array" aca="1" ref="O6" ca="1">IFERROR(INDIRECT("'" &amp; O$3 &amp; "'!" &amp; $B6),"")</f>
        <v/>
      </c>
      <c r="P6" s="114" t="str" cm="1">
        <f t="array" aca="1" ref="P6" ca="1">IFERROR(INDIRECT("'" &amp; P$3 &amp; "'!" &amp; $B6),"")</f>
        <v/>
      </c>
      <c r="Q6" s="114" t="str" cm="1">
        <f t="array" aca="1" ref="Q6" ca="1">IFERROR(INDIRECT("'" &amp; Q$3 &amp; "'!" &amp; $B6),"")</f>
        <v/>
      </c>
      <c r="R6" s="114" t="str" cm="1">
        <f t="array" aca="1" ref="R6" ca="1">IFERROR(INDIRECT("'" &amp; R$3 &amp; "'!" &amp; $B6),"")</f>
        <v/>
      </c>
      <c r="S6" s="406"/>
      <c r="T6" s="375"/>
      <c r="U6" s="375"/>
      <c r="V6" s="297"/>
      <c r="W6" s="297"/>
      <c r="X6" s="297"/>
    </row>
    <row r="7" spans="1:24">
      <c r="A7" s="112" t="s">
        <v>36</v>
      </c>
      <c r="B7" s="112" t="str">
        <f>IFERROR(_xlfn.XLOOKUP(A7,Listes!$F$2:$F$46,Listes!$G$2:$G$46,""),"")</f>
        <v>D8</v>
      </c>
      <c r="C7" s="114" cm="1">
        <f t="array" aca="1" ref="C7" ca="1">IFERROR(INDIRECT("'" &amp; C$3 &amp; "'!" &amp; $B7),"")</f>
        <v>225</v>
      </c>
      <c r="D7" s="114" cm="1">
        <f t="array" aca="1" ref="D7" ca="1">IFERROR(INDIRECT("'" &amp; D$3 &amp; "'!" &amp; $B7),"")</f>
        <v>225</v>
      </c>
      <c r="E7" s="114" cm="1">
        <f t="array" aca="1" ref="E7" ca="1">IFERROR(INDIRECT("'" &amp; E$3 &amp; "'!" &amp; $B7),"")</f>
        <v>225</v>
      </c>
      <c r="F7" s="114" cm="1">
        <f t="array" aca="1" ref="F7" ca="1">IFERROR(INDIRECT("'" &amp; F$3 &amp; "'!" &amp; $B7),"")</f>
        <v>225</v>
      </c>
      <c r="G7" s="114" cm="1">
        <f t="array" aca="1" ref="G7" ca="1">IFERROR(INDIRECT("'" &amp; G$3 &amp; "'!" &amp; $B7),"")</f>
        <v>225</v>
      </c>
      <c r="H7" s="114" cm="1">
        <f t="array" aca="1" ref="H7" ca="1">IFERROR(INDIRECT("'" &amp; H$3 &amp; "'!" &amp; $B7),"")</f>
        <v>225</v>
      </c>
      <c r="I7" s="114" cm="1">
        <f t="array" aca="1" ref="I7" ca="1">IFERROR(INDIRECT("'" &amp; I$3 &amp; "'!" &amp; $B7),"")</f>
        <v>225</v>
      </c>
      <c r="J7" s="114" cm="1">
        <f t="array" aca="1" ref="J7" ca="1">IFERROR(INDIRECT("'" &amp; J$3 &amp; "'!" &amp; $B7),"")</f>
        <v>225</v>
      </c>
      <c r="K7" s="114" t="str" cm="1">
        <f t="array" aca="1" ref="K7" ca="1">IFERROR(INDIRECT("'" &amp; K$3 &amp; "'!" &amp; $B7),"")</f>
        <v/>
      </c>
      <c r="L7" s="114" t="str" cm="1">
        <f t="array" aca="1" ref="L7" ca="1">IFERROR(INDIRECT("'" &amp; L$3 &amp; "'!" &amp; $B7),"")</f>
        <v/>
      </c>
      <c r="M7" s="114"/>
      <c r="N7" s="114"/>
      <c r="O7" s="114"/>
      <c r="P7" s="114"/>
      <c r="Q7" s="114"/>
      <c r="R7" s="114"/>
      <c r="S7" s="406"/>
      <c r="T7" s="375"/>
      <c r="U7" s="375"/>
      <c r="V7" s="297"/>
      <c r="W7" s="297"/>
      <c r="X7" s="297"/>
    </row>
    <row r="8" spans="1:24">
      <c r="A8" s="112" t="s">
        <v>503</v>
      </c>
      <c r="B8" s="112" t="str">
        <f>IFERROR(_xlfn.XLOOKUP(A8,Listes!$F$2:$F$46,Listes!$G$2:$G$46,""),"")</f>
        <v>C73</v>
      </c>
      <c r="C8" s="114" cm="1">
        <f t="array" aca="1" ref="C8" ca="1">IFERROR(INDIRECT("'" &amp; C$3 &amp; "'!" &amp; $B8),"")</f>
        <v>288</v>
      </c>
      <c r="D8" s="114" cm="1">
        <f t="array" aca="1" ref="D8" ca="1">IFERROR(INDIRECT("'" &amp; D$3 &amp; "'!" &amp; $B8),"")</f>
        <v>288</v>
      </c>
      <c r="E8" s="114" cm="1">
        <f t="array" aca="1" ref="E8" ca="1">IFERROR(INDIRECT("'" &amp; E$3 &amp; "'!" &amp; $B8),"")</f>
        <v>288</v>
      </c>
      <c r="F8" s="114" cm="1">
        <f t="array" aca="1" ref="F8" ca="1">IFERROR(INDIRECT("'" &amp; F$3 &amp; "'!" &amp; $B8),"")</f>
        <v>288</v>
      </c>
      <c r="G8" s="114" cm="1">
        <f t="array" aca="1" ref="G8" ca="1">IFERROR(INDIRECT("'" &amp; G$3 &amp; "'!" &amp; $B8),"")</f>
        <v>288</v>
      </c>
      <c r="H8" s="114" cm="1">
        <f t="array" aca="1" ref="H8" ca="1">IFERROR(INDIRECT("'" &amp; H$3 &amp; "'!" &amp; $B8),"")</f>
        <v>288</v>
      </c>
      <c r="I8" s="114" cm="1">
        <f t="array" aca="1" ref="I8" ca="1">IFERROR(INDIRECT("'" &amp; I$3 &amp; "'!" &amp; $B8),"")</f>
        <v>288</v>
      </c>
      <c r="J8" s="114" cm="1">
        <f t="array" aca="1" ref="J8" ca="1">IFERROR(INDIRECT("'" &amp; J$3 &amp; "'!" &amp; $B8),"")</f>
        <v>288</v>
      </c>
      <c r="K8" s="114" t="str" cm="1">
        <f t="array" aca="1" ref="K8" ca="1">IFERROR(INDIRECT("'" &amp; K$3 &amp; "'!" &amp; $B8),"")</f>
        <v/>
      </c>
      <c r="L8" s="114" t="str" cm="1">
        <f t="array" aca="1" ref="L8" ca="1">IFERROR(INDIRECT("'" &amp;#REF! &amp; "'!" &amp; $B8),"")</f>
        <v/>
      </c>
      <c r="M8" s="114" t="str" cm="1">
        <f t="array" aca="1" ref="M8" ca="1">IFERROR(INDIRECT("'" &amp;#REF! &amp; "'!" &amp; $B8),"")</f>
        <v/>
      </c>
      <c r="N8" s="114" t="str" cm="1">
        <f t="array" aca="1" ref="N8" ca="1">IFERROR(INDIRECT("'" &amp;#REF! &amp; "'!" &amp; $B8),"")</f>
        <v/>
      </c>
      <c r="O8" s="114" t="str" cm="1">
        <f t="array" aca="1" ref="O8" ca="1">IFERROR(INDIRECT("'" &amp;#REF! &amp; "'!" &amp; $B8),"")</f>
        <v/>
      </c>
      <c r="P8" s="114" t="str" cm="1">
        <f t="array" aca="1" ref="P8" ca="1">IFERROR(INDIRECT("'" &amp;#REF! &amp; "'!" &amp; $B8),"")</f>
        <v/>
      </c>
      <c r="Q8" s="114" t="str" cm="1">
        <f t="array" aca="1" ref="Q8" ca="1">IFERROR(INDIRECT("'" &amp;#REF! &amp; "'!" &amp; $B8),"")</f>
        <v/>
      </c>
      <c r="R8" s="114" t="str" cm="1">
        <f t="array" aca="1" ref="R8" ca="1">IFERROR(INDIRECT("'" &amp;#REF! &amp; "'!" &amp; $B8),"")</f>
        <v/>
      </c>
      <c r="S8" s="406"/>
      <c r="T8" s="375"/>
      <c r="U8" s="375"/>
      <c r="V8" s="297"/>
      <c r="W8" s="375"/>
      <c r="X8" s="297"/>
    </row>
    <row r="9" spans="1:24">
      <c r="A9" s="170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406"/>
      <c r="T9" s="375"/>
      <c r="U9" s="375"/>
      <c r="V9" s="297"/>
      <c r="W9" s="375"/>
      <c r="X9" s="297"/>
    </row>
    <row r="10" spans="1:24" ht="15.65" thickBot="1">
      <c r="A10" s="170"/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406"/>
      <c r="T10" s="375"/>
      <c r="U10" s="375"/>
      <c r="V10" s="297"/>
      <c r="W10" s="375"/>
      <c r="X10" s="297"/>
    </row>
    <row r="11" spans="1:24">
      <c r="A11" s="172" t="str">
        <f>'5. RESUME GAMME - CACV'!A51</f>
        <v>Année en cours : 2026</v>
      </c>
      <c r="B11" s="173"/>
      <c r="C11" s="846" t="str">
        <f>A11</f>
        <v>Année en cours : 2026</v>
      </c>
      <c r="D11" s="846"/>
      <c r="E11" s="846"/>
      <c r="F11" s="846"/>
      <c r="G11" s="846"/>
      <c r="H11" s="846"/>
      <c r="I11" s="846"/>
      <c r="J11" s="846"/>
      <c r="K11" s="846"/>
      <c r="L11" s="846"/>
      <c r="M11" s="846" t="str">
        <f>C11</f>
        <v>Année en cours : 2026</v>
      </c>
      <c r="N11" s="846"/>
      <c r="O11" s="846"/>
      <c r="P11" s="846"/>
      <c r="Q11" s="846"/>
      <c r="R11" s="846"/>
      <c r="S11" s="297"/>
      <c r="T11" s="174" t="s">
        <v>191</v>
      </c>
      <c r="U11" s="375"/>
      <c r="V11" s="297"/>
      <c r="W11" s="375"/>
      <c r="X11" s="297"/>
    </row>
    <row r="12" spans="1:24">
      <c r="A12" s="170" t="s">
        <v>518</v>
      </c>
      <c r="B12" s="173"/>
      <c r="C12" s="175">
        <f>'5. RESUME GAMME - CACV'!C58</f>
        <v>80</v>
      </c>
      <c r="D12" s="175">
        <f>'5. RESUME GAMME - CACV'!D58</f>
        <v>180</v>
      </c>
      <c r="E12" s="175">
        <f>'5. RESUME GAMME - CACV'!E58</f>
        <v>280</v>
      </c>
      <c r="F12" s="175">
        <f>'5. RESUME GAMME - CACV'!F58</f>
        <v>-70</v>
      </c>
      <c r="G12" s="175">
        <f>'5. RESUME GAMME - CACV'!G58</f>
        <v>480</v>
      </c>
      <c r="H12" s="175">
        <f>'5. RESUME GAMME - CACV'!H58</f>
        <v>150</v>
      </c>
      <c r="I12" s="175">
        <f>'5. RESUME GAMME - CACV'!I58</f>
        <v>0</v>
      </c>
      <c r="J12" s="175">
        <f>'5. RESUME GAMME - CACV'!J58</f>
        <v>0</v>
      </c>
      <c r="K12" s="175">
        <f>'5. RESUME GAMME - CACV'!K58</f>
        <v>0</v>
      </c>
      <c r="L12" s="175">
        <f>'5. RESUME GAMME - CACV'!L58</f>
        <v>0</v>
      </c>
      <c r="M12" s="175">
        <f>'5. RESUME GAMME - CACV'!M58</f>
        <v>0</v>
      </c>
      <c r="N12" s="175">
        <f>'5. RESUME GAMME - CACV'!N58</f>
        <v>0</v>
      </c>
      <c r="O12" s="175">
        <f>'5. RESUME GAMME - CACV'!O58</f>
        <v>0</v>
      </c>
      <c r="P12" s="175">
        <f>'5. RESUME GAMME - CACV'!P58</f>
        <v>0</v>
      </c>
      <c r="Q12" s="175">
        <f>'5. RESUME GAMME - CACV'!Q58</f>
        <v>0</v>
      </c>
      <c r="R12" s="175">
        <f>'5. RESUME GAMME - CACV'!R58</f>
        <v>0</v>
      </c>
      <c r="S12" s="297"/>
      <c r="T12" s="176">
        <f>SUM(C12:R12)</f>
        <v>1100</v>
      </c>
      <c r="U12" s="375"/>
      <c r="V12" s="297"/>
      <c r="W12" s="375"/>
      <c r="X12" s="297"/>
    </row>
    <row r="13" spans="1:24">
      <c r="A13" s="170" t="s">
        <v>513</v>
      </c>
      <c r="B13" s="173"/>
      <c r="C13" s="171">
        <f>'5. RESUME GAMME - CACV'!C55+'5. RESUME GAMME - CACV'!C56</f>
        <v>70</v>
      </c>
      <c r="D13" s="171">
        <f>'5. RESUME GAMME - CACV'!D55+'5. RESUME GAMME - CACV'!D56</f>
        <v>70</v>
      </c>
      <c r="E13" s="171">
        <f>'5. RESUME GAMME - CACV'!E55+'5. RESUME GAMME - CACV'!E56</f>
        <v>70</v>
      </c>
      <c r="F13" s="171">
        <f>'5. RESUME GAMME - CACV'!F55+'5. RESUME GAMME - CACV'!F56</f>
        <v>520</v>
      </c>
      <c r="G13" s="171">
        <f>'5. RESUME GAMME - CACV'!G55+'5. RESUME GAMME - CACV'!G56</f>
        <v>70</v>
      </c>
      <c r="H13" s="171">
        <f>'5. RESUME GAMME - CACV'!H55+'5. RESUME GAMME - CACV'!H56</f>
        <v>50</v>
      </c>
      <c r="I13" s="171">
        <f>'5. RESUME GAMME - CACV'!I55+'5. RESUME GAMME - CACV'!I56</f>
        <v>0</v>
      </c>
      <c r="J13" s="171">
        <f>'5. RESUME GAMME - CACV'!J55+'5. RESUME GAMME - CACV'!J56</f>
        <v>0</v>
      </c>
      <c r="K13" s="171">
        <f>'5. RESUME GAMME - CACV'!K55+'5. RESUME GAMME - CACV'!K56</f>
        <v>0</v>
      </c>
      <c r="L13" s="171">
        <f>'5. RESUME GAMME - CACV'!L55+'5. RESUME GAMME - CACV'!L56</f>
        <v>0</v>
      </c>
      <c r="M13" s="171">
        <f>'5. RESUME GAMME - CACV'!M55+'5. RESUME GAMME - CACV'!M56</f>
        <v>0</v>
      </c>
      <c r="N13" s="171">
        <f>'5. RESUME GAMME - CACV'!N55+'5. RESUME GAMME - CACV'!N56</f>
        <v>0</v>
      </c>
      <c r="O13" s="171">
        <f>'5. RESUME GAMME - CACV'!O55+'5. RESUME GAMME - CACV'!O56</f>
        <v>0</v>
      </c>
      <c r="P13" s="171">
        <f>'5. RESUME GAMME - CACV'!P55+'5. RESUME GAMME - CACV'!P56</f>
        <v>0</v>
      </c>
      <c r="Q13" s="171">
        <f>'5. RESUME GAMME - CACV'!Q55+'5. RESUME GAMME - CACV'!Q56</f>
        <v>0</v>
      </c>
      <c r="R13" s="171">
        <f>'5. RESUME GAMME - CACV'!R55+'5. RESUME GAMME - CACV'!R56</f>
        <v>0</v>
      </c>
      <c r="S13" s="297"/>
      <c r="T13" s="176">
        <f>SUM(C13:R13)</f>
        <v>850</v>
      </c>
      <c r="U13" s="375"/>
      <c r="V13" s="297"/>
      <c r="W13" s="375"/>
      <c r="X13" s="297"/>
    </row>
    <row r="14" spans="1:24">
      <c r="A14" s="170" t="s">
        <v>514</v>
      </c>
      <c r="B14" s="173"/>
      <c r="C14" s="175">
        <f>SUM(C12:C13)</f>
        <v>150</v>
      </c>
      <c r="D14" s="175">
        <f t="shared" ref="D14:R14" si="0">SUM(D12:D13)</f>
        <v>250</v>
      </c>
      <c r="E14" s="175">
        <f t="shared" si="0"/>
        <v>350</v>
      </c>
      <c r="F14" s="175">
        <f t="shared" si="0"/>
        <v>450</v>
      </c>
      <c r="G14" s="175">
        <f t="shared" si="0"/>
        <v>550</v>
      </c>
      <c r="H14" s="175">
        <f t="shared" si="0"/>
        <v>200</v>
      </c>
      <c r="I14" s="175">
        <f t="shared" si="0"/>
        <v>0</v>
      </c>
      <c r="J14" s="175">
        <f t="shared" si="0"/>
        <v>0</v>
      </c>
      <c r="K14" s="175">
        <f t="shared" si="0"/>
        <v>0</v>
      </c>
      <c r="L14" s="175">
        <f t="shared" si="0"/>
        <v>0</v>
      </c>
      <c r="M14" s="175">
        <f t="shared" si="0"/>
        <v>0</v>
      </c>
      <c r="N14" s="175">
        <f t="shared" si="0"/>
        <v>0</v>
      </c>
      <c r="O14" s="175">
        <f t="shared" si="0"/>
        <v>0</v>
      </c>
      <c r="P14" s="175">
        <f t="shared" si="0"/>
        <v>0</v>
      </c>
      <c r="Q14" s="175">
        <f t="shared" si="0"/>
        <v>0</v>
      </c>
      <c r="R14" s="175">
        <f t="shared" si="0"/>
        <v>0</v>
      </c>
      <c r="S14" s="297"/>
      <c r="T14" s="176">
        <f>SUM(C14:R14)</f>
        <v>1950</v>
      </c>
      <c r="U14" s="375"/>
      <c r="V14" s="297"/>
      <c r="W14" s="375"/>
      <c r="X14" s="297"/>
    </row>
    <row r="15" spans="1:24">
      <c r="A15" s="170" t="s">
        <v>515</v>
      </c>
      <c r="B15" s="173"/>
      <c r="C15" s="171">
        <f ca="1">IFERROR(C14/C7,"")</f>
        <v>0.66666666666666663</v>
      </c>
      <c r="D15" s="171">
        <f t="shared" ref="D15:R15" ca="1" si="1">IFERROR(D14/D7,"")</f>
        <v>1.1111111111111112</v>
      </c>
      <c r="E15" s="171">
        <f t="shared" ca="1" si="1"/>
        <v>1.5555555555555556</v>
      </c>
      <c r="F15" s="171">
        <f t="shared" ca="1" si="1"/>
        <v>2</v>
      </c>
      <c r="G15" s="171">
        <f t="shared" ca="1" si="1"/>
        <v>2.4444444444444446</v>
      </c>
      <c r="H15" s="171">
        <f t="shared" ca="1" si="1"/>
        <v>0.88888888888888884</v>
      </c>
      <c r="I15" s="171">
        <f t="shared" ca="1" si="1"/>
        <v>0</v>
      </c>
      <c r="J15" s="171">
        <f t="shared" ca="1" si="1"/>
        <v>0</v>
      </c>
      <c r="K15" s="171" t="str">
        <f t="shared" ca="1" si="1"/>
        <v/>
      </c>
      <c r="L15" s="171" t="str">
        <f t="shared" ca="1" si="1"/>
        <v/>
      </c>
      <c r="M15" s="171" t="str">
        <f t="shared" si="1"/>
        <v/>
      </c>
      <c r="N15" s="171" t="str">
        <f t="shared" si="1"/>
        <v/>
      </c>
      <c r="O15" s="171" t="str">
        <f t="shared" si="1"/>
        <v/>
      </c>
      <c r="P15" s="171" t="str">
        <f t="shared" si="1"/>
        <v/>
      </c>
      <c r="Q15" s="171" t="str">
        <f t="shared" si="1"/>
        <v/>
      </c>
      <c r="R15" s="171" t="str">
        <f t="shared" si="1"/>
        <v/>
      </c>
      <c r="S15" s="297"/>
      <c r="T15" s="176">
        <f ca="1">SUM(C15:R15)</f>
        <v>8.6666666666666661</v>
      </c>
      <c r="U15" s="375"/>
      <c r="V15" s="297"/>
      <c r="W15" s="375"/>
      <c r="X15" s="297"/>
    </row>
    <row r="16" spans="1:24">
      <c r="A16" s="170" t="s">
        <v>568</v>
      </c>
      <c r="B16" s="173"/>
      <c r="C16" s="171">
        <f ca="1">IFERROR(IF(OR(C15="",C15=0),"",IF(ROUND(C15,0)=0,1,ROUND(C15,0))),"")</f>
        <v>1</v>
      </c>
      <c r="D16" s="171">
        <f t="shared" ref="D16:H16" ca="1" si="2">IFERROR(IF(OR(D15="",D15=0),"",IF(ROUND(D15,0)=0,1,ROUND(D15,0))),"")</f>
        <v>1</v>
      </c>
      <c r="E16" s="171">
        <f t="shared" ca="1" si="2"/>
        <v>2</v>
      </c>
      <c r="F16" s="171">
        <f t="shared" ca="1" si="2"/>
        <v>2</v>
      </c>
      <c r="G16" s="171">
        <f t="shared" ca="1" si="2"/>
        <v>2</v>
      </c>
      <c r="H16" s="171">
        <f t="shared" ca="1" si="2"/>
        <v>1</v>
      </c>
      <c r="I16" s="171" t="str">
        <f t="shared" ref="I16" ca="1" si="3">IFERROR(IF(OR(I15="",I15=0),"",IF(ROUND(I15,0)=0,1,ROUND(I15,0))),"")</f>
        <v/>
      </c>
      <c r="J16" s="171" t="str">
        <f t="shared" ref="J16" ca="1" si="4">IFERROR(IF(OR(J15="",J15=0),"",IF(ROUND(J15,0)=0,1,ROUND(J15,0))),"")</f>
        <v/>
      </c>
      <c r="K16" s="171" t="str">
        <f t="shared" ref="K16" ca="1" si="5">IFERROR(IF(OR(K15="",K15=0),"",IF(ROUND(K15,0)=0,1,ROUND(K15,0))),"")</f>
        <v/>
      </c>
      <c r="L16" s="171" t="str">
        <f t="shared" ref="L16" ca="1" si="6">IFERROR(IF(OR(L15="",L15=0),"",IF(ROUND(L15,0)=0,1,ROUND(L15,0))),"")</f>
        <v/>
      </c>
      <c r="M16" s="171" t="str">
        <f t="shared" ref="M16" si="7">IFERROR(IF(OR(M15="",M15=0),"",IF(ROUND(M15,0)=0,1,ROUND(M15,0))),"")</f>
        <v/>
      </c>
      <c r="N16" s="171" t="str">
        <f t="shared" ref="N16" si="8">IFERROR(IF(OR(N15="",N15=0),"",IF(ROUND(N15,0)=0,1,ROUND(N15,0))),"")</f>
        <v/>
      </c>
      <c r="O16" s="171" t="str">
        <f t="shared" ref="O16" si="9">IFERROR(IF(OR(O15="",O15=0),"",IF(ROUND(O15,0)=0,1,ROUND(O15,0))),"")</f>
        <v/>
      </c>
      <c r="P16" s="171" t="str">
        <f t="shared" ref="P16" si="10">IFERROR(IF(OR(P15="",P15=0),"",IF(ROUND(P15,0)=0,1,ROUND(P15,0))),"")</f>
        <v/>
      </c>
      <c r="Q16" s="171" t="str">
        <f t="shared" ref="Q16" si="11">IFERROR(IF(OR(Q15="",Q15=0),"",IF(ROUND(Q15,0)=0,1,ROUND(Q15,0))),"")</f>
        <v/>
      </c>
      <c r="R16" s="171" t="str">
        <f t="shared" ref="R16" si="12">IFERROR(IF(OR(R15="",R15=0),"",IF(ROUND(R15,0)=0,1,ROUND(R15,0))),"")</f>
        <v/>
      </c>
      <c r="S16" s="297"/>
      <c r="T16" s="177">
        <f ca="1">SUMPRODUCT(C16:R16,(C8:R8))/60</f>
        <v>43.2</v>
      </c>
      <c r="U16" s="375"/>
      <c r="V16" s="297"/>
      <c r="W16" s="375"/>
      <c r="X16" s="297"/>
    </row>
    <row r="17" spans="1:24" ht="15.65" thickBot="1">
      <c r="A17" s="170" t="s">
        <v>520</v>
      </c>
      <c r="B17" s="173"/>
      <c r="C17" s="171">
        <f ca="1">IFERROR(C8*C15/60,"")</f>
        <v>3.2</v>
      </c>
      <c r="D17" s="171">
        <f t="shared" ref="D17:R17" ca="1" si="13">IFERROR(D8*D15/60,"")</f>
        <v>5.333333333333333</v>
      </c>
      <c r="E17" s="171">
        <f t="shared" ca="1" si="13"/>
        <v>7.4666666666666668</v>
      </c>
      <c r="F17" s="171">
        <f t="shared" ca="1" si="13"/>
        <v>9.6</v>
      </c>
      <c r="G17" s="171">
        <f t="shared" ca="1" si="13"/>
        <v>11.733333333333333</v>
      </c>
      <c r="H17" s="171">
        <f ca="1">IFERROR(H8*H15/60,"")</f>
        <v>4.2666666666666666</v>
      </c>
      <c r="I17" s="171">
        <f t="shared" ca="1" si="13"/>
        <v>0</v>
      </c>
      <c r="J17" s="171">
        <f t="shared" ca="1" si="13"/>
        <v>0</v>
      </c>
      <c r="K17" s="171" t="str">
        <f t="shared" ca="1" si="13"/>
        <v/>
      </c>
      <c r="L17" s="171" t="str">
        <f t="shared" ca="1" si="13"/>
        <v/>
      </c>
      <c r="M17" s="171" t="str">
        <f t="shared" ca="1" si="13"/>
        <v/>
      </c>
      <c r="N17" s="171" t="str">
        <f t="shared" ca="1" si="13"/>
        <v/>
      </c>
      <c r="O17" s="171" t="str">
        <f t="shared" ca="1" si="13"/>
        <v/>
      </c>
      <c r="P17" s="171" t="str">
        <f t="shared" ca="1" si="13"/>
        <v/>
      </c>
      <c r="Q17" s="171" t="str">
        <f t="shared" ca="1" si="13"/>
        <v/>
      </c>
      <c r="R17" s="171" t="str">
        <f t="shared" ca="1" si="13"/>
        <v/>
      </c>
      <c r="S17" s="297"/>
      <c r="T17" s="178">
        <f ca="1">SUM(C17:R17)</f>
        <v>41.6</v>
      </c>
      <c r="U17" s="375"/>
      <c r="V17" s="297"/>
      <c r="W17" s="375"/>
      <c r="X17" s="297"/>
    </row>
    <row r="18" spans="1:24">
      <c r="A18" s="390"/>
      <c r="B18" s="390"/>
      <c r="C18" s="406"/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406"/>
      <c r="S18" s="297"/>
      <c r="T18" s="407"/>
      <c r="U18" s="375"/>
      <c r="V18" s="297"/>
      <c r="W18" s="375"/>
      <c r="X18" s="297"/>
    </row>
    <row r="19" spans="1:24">
      <c r="A19" s="170"/>
      <c r="B19" s="173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297"/>
      <c r="T19" s="175"/>
      <c r="U19" s="375"/>
      <c r="V19" s="297"/>
      <c r="W19" s="375"/>
      <c r="X19" s="297"/>
    </row>
    <row r="20" spans="1:24" ht="30.05">
      <c r="A20" s="165"/>
      <c r="B20" s="841" t="s">
        <v>571</v>
      </c>
      <c r="C20" s="841"/>
      <c r="D20" s="841"/>
      <c r="E20" s="841"/>
      <c r="F20" s="841"/>
      <c r="G20" s="841"/>
      <c r="H20" s="841"/>
      <c r="I20" s="841"/>
      <c r="J20" s="841"/>
      <c r="K20" s="841"/>
      <c r="L20" s="841"/>
      <c r="M20" s="841"/>
      <c r="N20" s="841"/>
      <c r="O20" s="841"/>
      <c r="P20" s="841"/>
      <c r="Q20" s="841"/>
      <c r="R20" s="842"/>
      <c r="S20" s="408" t="s">
        <v>523</v>
      </c>
      <c r="T20" s="297"/>
      <c r="U20" s="297"/>
      <c r="V20" s="297"/>
      <c r="W20" s="297"/>
      <c r="X20" s="297"/>
    </row>
    <row r="21" spans="1:24" ht="18" customHeight="1">
      <c r="A21" s="844" t="s">
        <v>384</v>
      </c>
      <c r="B21" s="409" t="s">
        <v>365</v>
      </c>
      <c r="C21" s="410">
        <v>0</v>
      </c>
      <c r="D21" s="411">
        <v>1</v>
      </c>
      <c r="E21" s="410">
        <v>0</v>
      </c>
      <c r="F21" s="410">
        <v>0</v>
      </c>
      <c r="G21" s="410">
        <v>0</v>
      </c>
      <c r="H21" s="410">
        <v>0</v>
      </c>
      <c r="I21" s="410">
        <v>0</v>
      </c>
      <c r="J21" s="410">
        <v>0</v>
      </c>
      <c r="K21" s="410">
        <v>0</v>
      </c>
      <c r="L21" s="410">
        <v>0</v>
      </c>
      <c r="M21" s="410">
        <v>0</v>
      </c>
      <c r="N21" s="410">
        <v>0</v>
      </c>
      <c r="O21" s="410">
        <v>0</v>
      </c>
      <c r="P21" s="410">
        <v>0</v>
      </c>
      <c r="Q21" s="410">
        <v>0</v>
      </c>
      <c r="R21" s="410">
        <v>0</v>
      </c>
      <c r="S21" s="23">
        <f t="shared" ref="S21:S32" si="14">SUM(C21:R21)</f>
        <v>1</v>
      </c>
      <c r="T21" s="297"/>
      <c r="U21" s="297"/>
      <c r="V21" s="297"/>
      <c r="W21" s="297"/>
      <c r="X21" s="297"/>
    </row>
    <row r="22" spans="1:24">
      <c r="A22" s="845"/>
      <c r="B22" s="409" t="s">
        <v>366</v>
      </c>
      <c r="C22" s="410">
        <v>0</v>
      </c>
      <c r="D22" s="410">
        <v>0</v>
      </c>
      <c r="E22" s="410">
        <v>0</v>
      </c>
      <c r="F22" s="411">
        <v>1</v>
      </c>
      <c r="G22" s="410">
        <v>0</v>
      </c>
      <c r="H22" s="410">
        <v>0</v>
      </c>
      <c r="I22" s="410">
        <v>0</v>
      </c>
      <c r="J22" s="410">
        <v>0</v>
      </c>
      <c r="K22" s="410">
        <v>0</v>
      </c>
      <c r="L22" s="410">
        <v>0</v>
      </c>
      <c r="M22" s="410">
        <v>0</v>
      </c>
      <c r="N22" s="410">
        <v>0</v>
      </c>
      <c r="O22" s="410">
        <v>0</v>
      </c>
      <c r="P22" s="410">
        <v>0</v>
      </c>
      <c r="Q22" s="410">
        <v>0</v>
      </c>
      <c r="R22" s="410">
        <v>0</v>
      </c>
      <c r="S22" s="23">
        <f t="shared" si="14"/>
        <v>1</v>
      </c>
      <c r="T22" s="297"/>
      <c r="U22" s="297"/>
      <c r="V22" s="297"/>
      <c r="W22" s="297"/>
      <c r="X22" s="297"/>
    </row>
    <row r="23" spans="1:24">
      <c r="A23" s="845"/>
      <c r="B23" s="409" t="s">
        <v>367</v>
      </c>
      <c r="C23" s="410">
        <v>0</v>
      </c>
      <c r="D23" s="410">
        <v>0</v>
      </c>
      <c r="E23" s="410">
        <v>0</v>
      </c>
      <c r="F23" s="411">
        <v>1</v>
      </c>
      <c r="G23" s="411">
        <v>1</v>
      </c>
      <c r="H23" s="410">
        <v>0</v>
      </c>
      <c r="I23" s="410">
        <v>0</v>
      </c>
      <c r="J23" s="410">
        <v>0</v>
      </c>
      <c r="K23" s="410">
        <v>0</v>
      </c>
      <c r="L23" s="410">
        <v>0</v>
      </c>
      <c r="M23" s="410">
        <v>0</v>
      </c>
      <c r="N23" s="410">
        <v>0</v>
      </c>
      <c r="O23" s="410">
        <v>0</v>
      </c>
      <c r="P23" s="410">
        <v>0</v>
      </c>
      <c r="Q23" s="410">
        <v>0</v>
      </c>
      <c r="R23" s="410">
        <v>0</v>
      </c>
      <c r="S23" s="23">
        <f t="shared" si="14"/>
        <v>2</v>
      </c>
      <c r="T23" s="297"/>
      <c r="U23" s="297"/>
      <c r="V23" s="297"/>
      <c r="W23" s="297"/>
      <c r="X23" s="297"/>
    </row>
    <row r="24" spans="1:24">
      <c r="A24" s="845"/>
      <c r="B24" s="409" t="s">
        <v>368</v>
      </c>
      <c r="C24" s="410">
        <v>0</v>
      </c>
      <c r="D24" s="410">
        <v>0</v>
      </c>
      <c r="E24" s="410">
        <v>0</v>
      </c>
      <c r="F24" s="411">
        <v>1</v>
      </c>
      <c r="G24" s="411">
        <v>1</v>
      </c>
      <c r="H24" s="411">
        <v>1</v>
      </c>
      <c r="I24" s="410">
        <v>0</v>
      </c>
      <c r="J24" s="410">
        <v>0</v>
      </c>
      <c r="K24" s="410">
        <v>0</v>
      </c>
      <c r="L24" s="410">
        <v>0</v>
      </c>
      <c r="M24" s="410">
        <v>0</v>
      </c>
      <c r="N24" s="410">
        <v>0</v>
      </c>
      <c r="O24" s="410">
        <v>0</v>
      </c>
      <c r="P24" s="410">
        <v>0</v>
      </c>
      <c r="Q24" s="410">
        <v>0</v>
      </c>
      <c r="R24" s="410">
        <v>0</v>
      </c>
      <c r="S24" s="23">
        <f t="shared" si="14"/>
        <v>3</v>
      </c>
      <c r="T24" s="297"/>
      <c r="U24" s="297"/>
      <c r="V24" s="297"/>
      <c r="W24" s="297"/>
      <c r="X24" s="297"/>
    </row>
    <row r="25" spans="1:24">
      <c r="A25" s="845"/>
      <c r="B25" s="409" t="s">
        <v>369</v>
      </c>
      <c r="C25" s="410">
        <v>0</v>
      </c>
      <c r="D25" s="410">
        <v>0</v>
      </c>
      <c r="E25" s="410">
        <v>0</v>
      </c>
      <c r="F25" s="411">
        <v>1</v>
      </c>
      <c r="G25" s="411">
        <v>1</v>
      </c>
      <c r="H25" s="411">
        <v>1</v>
      </c>
      <c r="I25" s="410">
        <v>0</v>
      </c>
      <c r="J25" s="410">
        <v>0</v>
      </c>
      <c r="K25" s="410">
        <v>0</v>
      </c>
      <c r="L25" s="410">
        <v>0</v>
      </c>
      <c r="M25" s="410">
        <v>0</v>
      </c>
      <c r="N25" s="410">
        <v>0</v>
      </c>
      <c r="O25" s="410">
        <v>0</v>
      </c>
      <c r="P25" s="410">
        <v>0</v>
      </c>
      <c r="Q25" s="410">
        <v>0</v>
      </c>
      <c r="R25" s="410">
        <v>0</v>
      </c>
      <c r="S25" s="23">
        <f t="shared" si="14"/>
        <v>3</v>
      </c>
      <c r="T25" s="297"/>
      <c r="U25" s="297"/>
      <c r="V25" s="297"/>
      <c r="W25" s="297"/>
      <c r="X25" s="297"/>
    </row>
    <row r="26" spans="1:24">
      <c r="A26" s="845"/>
      <c r="B26" s="409" t="s">
        <v>370</v>
      </c>
      <c r="C26" s="410">
        <v>0</v>
      </c>
      <c r="D26" s="410">
        <v>0</v>
      </c>
      <c r="E26" s="410">
        <v>0</v>
      </c>
      <c r="F26" s="411">
        <v>1</v>
      </c>
      <c r="G26" s="410">
        <v>0</v>
      </c>
      <c r="H26" s="411">
        <v>1</v>
      </c>
      <c r="I26" s="410">
        <v>0</v>
      </c>
      <c r="J26" s="410">
        <v>0</v>
      </c>
      <c r="K26" s="410">
        <v>0</v>
      </c>
      <c r="L26" s="410">
        <v>0</v>
      </c>
      <c r="M26" s="410">
        <v>0</v>
      </c>
      <c r="N26" s="410">
        <v>0</v>
      </c>
      <c r="O26" s="410">
        <v>0</v>
      </c>
      <c r="P26" s="410">
        <v>0</v>
      </c>
      <c r="Q26" s="410">
        <v>0</v>
      </c>
      <c r="R26" s="410">
        <v>0</v>
      </c>
      <c r="S26" s="23">
        <f t="shared" si="14"/>
        <v>2</v>
      </c>
      <c r="T26" s="297"/>
      <c r="U26" s="297"/>
      <c r="V26" s="297"/>
      <c r="W26" s="297"/>
      <c r="X26" s="297"/>
    </row>
    <row r="27" spans="1:24">
      <c r="A27" s="845"/>
      <c r="B27" s="409" t="s">
        <v>371</v>
      </c>
      <c r="C27" s="411">
        <v>1</v>
      </c>
      <c r="D27" s="410">
        <v>0</v>
      </c>
      <c r="E27" s="411">
        <v>1</v>
      </c>
      <c r="F27" s="411">
        <v>1</v>
      </c>
      <c r="G27" s="410">
        <v>0</v>
      </c>
      <c r="H27" s="410">
        <v>0</v>
      </c>
      <c r="I27" s="410">
        <v>0</v>
      </c>
      <c r="J27" s="410">
        <v>0</v>
      </c>
      <c r="K27" s="410">
        <v>0</v>
      </c>
      <c r="L27" s="410">
        <v>0</v>
      </c>
      <c r="M27" s="410">
        <v>0</v>
      </c>
      <c r="N27" s="410">
        <v>0</v>
      </c>
      <c r="O27" s="410">
        <v>0</v>
      </c>
      <c r="P27" s="410">
        <v>0</v>
      </c>
      <c r="Q27" s="410">
        <v>0</v>
      </c>
      <c r="R27" s="410">
        <v>0</v>
      </c>
      <c r="S27" s="23">
        <f t="shared" si="14"/>
        <v>3</v>
      </c>
      <c r="T27" s="297"/>
      <c r="U27" s="297"/>
      <c r="V27" s="297"/>
      <c r="W27" s="297"/>
      <c r="X27" s="297"/>
    </row>
    <row r="28" spans="1:24">
      <c r="A28" s="845"/>
      <c r="B28" s="409" t="s">
        <v>372</v>
      </c>
      <c r="C28" s="411">
        <v>1</v>
      </c>
      <c r="D28" s="410">
        <v>0</v>
      </c>
      <c r="E28" s="411">
        <v>1</v>
      </c>
      <c r="F28" s="411">
        <v>1</v>
      </c>
      <c r="G28" s="410">
        <v>0</v>
      </c>
      <c r="H28" s="410">
        <v>0</v>
      </c>
      <c r="I28" s="410">
        <v>0</v>
      </c>
      <c r="J28" s="410">
        <v>0</v>
      </c>
      <c r="K28" s="410">
        <v>0</v>
      </c>
      <c r="L28" s="410">
        <v>0</v>
      </c>
      <c r="M28" s="410">
        <v>0</v>
      </c>
      <c r="N28" s="410">
        <v>0</v>
      </c>
      <c r="O28" s="410">
        <v>0</v>
      </c>
      <c r="P28" s="410">
        <v>0</v>
      </c>
      <c r="Q28" s="410">
        <v>0</v>
      </c>
      <c r="R28" s="410">
        <v>0</v>
      </c>
      <c r="S28" s="23">
        <f t="shared" si="14"/>
        <v>3</v>
      </c>
      <c r="T28" s="297"/>
      <c r="U28" s="297"/>
      <c r="V28" s="297"/>
      <c r="W28" s="297"/>
      <c r="X28" s="297"/>
    </row>
    <row r="29" spans="1:24">
      <c r="A29" s="845"/>
      <c r="B29" s="409" t="s">
        <v>373</v>
      </c>
      <c r="C29" s="411">
        <v>1</v>
      </c>
      <c r="D29" s="410">
        <v>0</v>
      </c>
      <c r="E29" s="411">
        <v>1</v>
      </c>
      <c r="F29" s="411">
        <v>1</v>
      </c>
      <c r="G29" s="410">
        <v>0</v>
      </c>
      <c r="H29" s="410">
        <v>0</v>
      </c>
      <c r="I29" s="410">
        <v>0</v>
      </c>
      <c r="J29" s="410">
        <v>0</v>
      </c>
      <c r="K29" s="410">
        <v>0</v>
      </c>
      <c r="L29" s="410">
        <v>0</v>
      </c>
      <c r="M29" s="410">
        <v>0</v>
      </c>
      <c r="N29" s="410">
        <v>0</v>
      </c>
      <c r="O29" s="410">
        <v>0</v>
      </c>
      <c r="P29" s="410">
        <v>0</v>
      </c>
      <c r="Q29" s="410">
        <v>0</v>
      </c>
      <c r="R29" s="410">
        <v>0</v>
      </c>
      <c r="S29" s="23">
        <f t="shared" si="14"/>
        <v>3</v>
      </c>
      <c r="T29" s="297"/>
      <c r="U29" s="297"/>
      <c r="V29" s="297"/>
      <c r="W29" s="297"/>
      <c r="X29" s="297"/>
    </row>
    <row r="30" spans="1:24">
      <c r="A30" s="845"/>
      <c r="B30" s="409" t="s">
        <v>374</v>
      </c>
      <c r="C30" s="411">
        <v>0.5</v>
      </c>
      <c r="D30" s="411">
        <v>1</v>
      </c>
      <c r="E30" s="411">
        <v>1</v>
      </c>
      <c r="F30" s="411">
        <v>1</v>
      </c>
      <c r="G30" s="410">
        <v>0</v>
      </c>
      <c r="H30" s="410">
        <v>0</v>
      </c>
      <c r="I30" s="410">
        <v>0</v>
      </c>
      <c r="J30" s="410">
        <v>0</v>
      </c>
      <c r="K30" s="410">
        <v>0</v>
      </c>
      <c r="L30" s="410">
        <v>0</v>
      </c>
      <c r="M30" s="410">
        <v>0</v>
      </c>
      <c r="N30" s="410">
        <v>0</v>
      </c>
      <c r="O30" s="410">
        <v>0</v>
      </c>
      <c r="P30" s="410">
        <v>0</v>
      </c>
      <c r="Q30" s="410">
        <v>0</v>
      </c>
      <c r="R30" s="410">
        <v>0</v>
      </c>
      <c r="S30" s="23">
        <f t="shared" si="14"/>
        <v>3.5</v>
      </c>
      <c r="T30" s="297"/>
      <c r="U30" s="297"/>
      <c r="V30" s="297"/>
      <c r="W30" s="297"/>
      <c r="X30" s="297"/>
    </row>
    <row r="31" spans="1:24">
      <c r="A31" s="845"/>
      <c r="B31" s="409" t="s">
        <v>375</v>
      </c>
      <c r="C31" s="410">
        <v>0</v>
      </c>
      <c r="D31" s="411">
        <v>1</v>
      </c>
      <c r="E31" s="410">
        <v>0</v>
      </c>
      <c r="F31" s="411">
        <v>1</v>
      </c>
      <c r="G31" s="410">
        <v>0</v>
      </c>
      <c r="H31" s="410">
        <v>0</v>
      </c>
      <c r="I31" s="410">
        <v>0</v>
      </c>
      <c r="J31" s="410">
        <v>0</v>
      </c>
      <c r="K31" s="410">
        <v>0</v>
      </c>
      <c r="L31" s="410">
        <v>0</v>
      </c>
      <c r="M31" s="410">
        <v>0</v>
      </c>
      <c r="N31" s="410">
        <v>0</v>
      </c>
      <c r="O31" s="410">
        <v>0</v>
      </c>
      <c r="P31" s="410">
        <v>0</v>
      </c>
      <c r="Q31" s="410">
        <v>0</v>
      </c>
      <c r="R31" s="410">
        <v>0</v>
      </c>
      <c r="S31" s="23">
        <f t="shared" si="14"/>
        <v>2</v>
      </c>
      <c r="T31" s="297"/>
      <c r="U31" s="297"/>
      <c r="V31" s="297"/>
      <c r="W31" s="297"/>
      <c r="X31" s="297"/>
    </row>
    <row r="32" spans="1:24">
      <c r="A32" s="845"/>
      <c r="B32" s="409" t="s">
        <v>376</v>
      </c>
      <c r="C32" s="410">
        <v>0</v>
      </c>
      <c r="D32" s="411">
        <v>1</v>
      </c>
      <c r="E32" s="410">
        <v>0</v>
      </c>
      <c r="F32" s="411">
        <v>1</v>
      </c>
      <c r="G32" s="410">
        <v>0</v>
      </c>
      <c r="H32" s="410">
        <v>0</v>
      </c>
      <c r="I32" s="410">
        <v>0</v>
      </c>
      <c r="J32" s="410">
        <v>0</v>
      </c>
      <c r="K32" s="410">
        <v>0</v>
      </c>
      <c r="L32" s="410">
        <v>0</v>
      </c>
      <c r="M32" s="410">
        <v>0</v>
      </c>
      <c r="N32" s="410">
        <v>0</v>
      </c>
      <c r="O32" s="410">
        <v>0</v>
      </c>
      <c r="P32" s="410">
        <v>0</v>
      </c>
      <c r="Q32" s="410">
        <v>0</v>
      </c>
      <c r="R32" s="410">
        <v>0</v>
      </c>
      <c r="S32" s="23">
        <f t="shared" si="14"/>
        <v>2</v>
      </c>
      <c r="T32" s="297"/>
      <c r="U32" s="297"/>
      <c r="V32" s="297"/>
      <c r="W32" s="297"/>
      <c r="X32" s="297"/>
    </row>
    <row r="33" spans="1:25">
      <c r="A33" s="297" t="s">
        <v>377</v>
      </c>
      <c r="B33" s="297"/>
      <c r="C33" s="179">
        <f>SUM(C21:C32)</f>
        <v>3.5</v>
      </c>
      <c r="D33" s="179">
        <f t="shared" ref="D33:R33" si="15">SUM(D21:D32)</f>
        <v>4</v>
      </c>
      <c r="E33" s="179">
        <f>SUM(E21:E32)</f>
        <v>4</v>
      </c>
      <c r="F33" s="179">
        <f t="shared" si="15"/>
        <v>11</v>
      </c>
      <c r="G33" s="179">
        <f t="shared" si="15"/>
        <v>3</v>
      </c>
      <c r="H33" s="179">
        <f t="shared" si="15"/>
        <v>3</v>
      </c>
      <c r="I33" s="179">
        <f>SUM(I21:I32)</f>
        <v>0</v>
      </c>
      <c r="J33" s="179">
        <f t="shared" si="15"/>
        <v>0</v>
      </c>
      <c r="K33" s="179">
        <f t="shared" si="15"/>
        <v>0</v>
      </c>
      <c r="L33" s="179">
        <f t="shared" si="15"/>
        <v>0</v>
      </c>
      <c r="M33" s="179">
        <f t="shared" si="15"/>
        <v>0</v>
      </c>
      <c r="N33" s="179">
        <f t="shared" si="15"/>
        <v>0</v>
      </c>
      <c r="O33" s="179">
        <f t="shared" si="15"/>
        <v>0</v>
      </c>
      <c r="P33" s="179">
        <f t="shared" si="15"/>
        <v>0</v>
      </c>
      <c r="Q33" s="179">
        <f t="shared" si="15"/>
        <v>0</v>
      </c>
      <c r="R33" s="179">
        <f t="shared" si="15"/>
        <v>0</v>
      </c>
      <c r="S33" s="295"/>
      <c r="T33" s="297"/>
      <c r="U33" s="297"/>
      <c r="V33" s="297"/>
      <c r="W33" s="297"/>
      <c r="X33" s="297"/>
    </row>
    <row r="34" spans="1:25">
      <c r="A34" s="287" t="s">
        <v>378</v>
      </c>
      <c r="B34" s="412"/>
      <c r="C34" s="180">
        <f>C33*4.33</f>
        <v>15.155000000000001</v>
      </c>
      <c r="D34" s="180">
        <f t="shared" ref="D34:R34" si="16">D33*4.33</f>
        <v>17.32</v>
      </c>
      <c r="E34" s="180">
        <f t="shared" si="16"/>
        <v>17.32</v>
      </c>
      <c r="F34" s="180">
        <f t="shared" si="16"/>
        <v>47.63</v>
      </c>
      <c r="G34" s="180">
        <f t="shared" si="16"/>
        <v>12.99</v>
      </c>
      <c r="H34" s="180">
        <f t="shared" si="16"/>
        <v>12.99</v>
      </c>
      <c r="I34" s="180">
        <f t="shared" si="16"/>
        <v>0</v>
      </c>
      <c r="J34" s="180">
        <f t="shared" si="16"/>
        <v>0</v>
      </c>
      <c r="K34" s="180">
        <f t="shared" si="16"/>
        <v>0</v>
      </c>
      <c r="L34" s="180">
        <f t="shared" si="16"/>
        <v>0</v>
      </c>
      <c r="M34" s="180">
        <f t="shared" si="16"/>
        <v>0</v>
      </c>
      <c r="N34" s="180">
        <f t="shared" si="16"/>
        <v>0</v>
      </c>
      <c r="O34" s="180">
        <f t="shared" si="16"/>
        <v>0</v>
      </c>
      <c r="P34" s="180">
        <f t="shared" si="16"/>
        <v>0</v>
      </c>
      <c r="Q34" s="180">
        <f t="shared" si="16"/>
        <v>0</v>
      </c>
      <c r="R34" s="180">
        <f t="shared" si="16"/>
        <v>0</v>
      </c>
      <c r="S34" s="297"/>
      <c r="T34" s="297"/>
      <c r="U34" s="297"/>
      <c r="V34" s="297"/>
      <c r="W34" s="297"/>
      <c r="X34" s="297"/>
    </row>
    <row r="35" spans="1:25">
      <c r="A35" s="297"/>
      <c r="B35" s="297"/>
      <c r="C35" s="297"/>
      <c r="D35" s="297"/>
      <c r="E35" s="297"/>
      <c r="F35" s="297"/>
      <c r="G35" s="297"/>
      <c r="H35" s="297"/>
      <c r="I35" s="297"/>
      <c r="J35" s="297"/>
      <c r="K35" s="297"/>
      <c r="L35" s="297"/>
      <c r="M35" s="297"/>
      <c r="N35" s="297"/>
      <c r="O35" s="297"/>
      <c r="P35" s="297"/>
      <c r="Q35" s="297"/>
      <c r="R35" s="297"/>
      <c r="S35" s="297"/>
      <c r="T35" s="297"/>
      <c r="U35" s="297"/>
      <c r="V35" s="297"/>
      <c r="W35" s="297"/>
      <c r="X35" s="297"/>
    </row>
    <row r="36" spans="1:25">
      <c r="A36" s="297"/>
      <c r="B36" s="297"/>
      <c r="C36" s="297"/>
      <c r="D36" s="297"/>
      <c r="E36" s="297"/>
      <c r="F36" s="297"/>
      <c r="G36" s="297"/>
      <c r="H36" s="297"/>
      <c r="I36" s="297"/>
      <c r="J36" s="297"/>
      <c r="K36" s="297"/>
      <c r="L36" s="297"/>
      <c r="M36" s="297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</row>
    <row r="37" spans="1:25" ht="45.1">
      <c r="A37" s="413"/>
      <c r="B37" s="841" t="s">
        <v>592</v>
      </c>
      <c r="C37" s="841"/>
      <c r="D37" s="841"/>
      <c r="E37" s="841"/>
      <c r="F37" s="841"/>
      <c r="G37" s="841"/>
      <c r="H37" s="841"/>
      <c r="I37" s="841"/>
      <c r="J37" s="841"/>
      <c r="K37" s="841"/>
      <c r="L37" s="841"/>
      <c r="M37" s="841"/>
      <c r="N37" s="841"/>
      <c r="O37" s="841"/>
      <c r="P37" s="841"/>
      <c r="Q37" s="841"/>
      <c r="R37" s="842"/>
      <c r="S37" s="414" t="s">
        <v>527</v>
      </c>
      <c r="T37" s="408" t="s">
        <v>524</v>
      </c>
      <c r="U37" s="408" t="s">
        <v>525</v>
      </c>
      <c r="V37" s="408" t="s">
        <v>526</v>
      </c>
      <c r="W37" s="415" t="s">
        <v>521</v>
      </c>
      <c r="X37" s="416" t="s">
        <v>522</v>
      </c>
      <c r="Y37" s="181"/>
    </row>
    <row r="38" spans="1:25">
      <c r="A38" s="843" t="s">
        <v>569</v>
      </c>
      <c r="B38" s="417" t="str">
        <f t="shared" ref="B38:B49" si="17">B21</f>
        <v>JANVIER</v>
      </c>
      <c r="C38" s="154" cm="1">
        <f t="array" aca="1" ref="C38" ca="1">IF(OR(C$16="",C$16=0,C21=0),0,FLOOR(C$16/SUMPRODUCT(--(C$21:C$32&gt;0)),1)+IF(SUMPRODUCT(--(C$21:C21&gt;0))&gt;SUMPRODUCT(--(C$21:C$32&gt;0))-(C$16-FLOOR(C$16/SUMPRODUCT(--(C$21:C$32&gt;0)),1)*SUMPRODUCT(--(C$21:C$32&gt;0))),1,0))</f>
        <v>0</v>
      </c>
      <c r="D38" s="154" cm="1">
        <f t="array" aca="1" ref="D38" ca="1">IF(OR(D$16="",D$16=0,D21=0),0,FLOOR(D$16/SUMPRODUCT(--(D$21:D$32&gt;0)),1)+IF(SUMPRODUCT(--(D$21:D21&gt;0))&gt;SUMPRODUCT(--(D$21:D$32&gt;0))-(D$16-FLOOR(D$16/SUMPRODUCT(--(D$21:D$32&gt;0)),1)*SUMPRODUCT(--(D$21:D$32&gt;0))),1,0))</f>
        <v>0</v>
      </c>
      <c r="E38" s="154" cm="1">
        <f t="array" aca="1" ref="E38" ca="1">IF(OR(E$16="",E$16=0,E21=0),0,FLOOR(E$16/SUMPRODUCT(--(E$21:E$32&gt;0)),1)+IF(SUMPRODUCT(--(E$21:E21&gt;0))&gt;SUMPRODUCT(--(E$21:E$32&gt;0))-(E$16-FLOOR(E$16/SUMPRODUCT(--(E$21:E$32&gt;0)),1)*SUMPRODUCT(--(E$21:E$32&gt;0))),1,0))</f>
        <v>0</v>
      </c>
      <c r="F38" s="154" cm="1">
        <f t="array" aca="1" ref="F38" ca="1">IF(OR(F$16="",F$16=0,F21=0),0,FLOOR(F$16/SUMPRODUCT(--(F$21:F$32&gt;0)),1)+IF(SUMPRODUCT(--(F$21:F21&gt;0))&gt;SUMPRODUCT(--(F$21:F$32&gt;0))-(F$16-FLOOR(F$16/SUMPRODUCT(--(F$21:F$32&gt;0)),1)*SUMPRODUCT(--(F$21:F$32&gt;0))),1,0))</f>
        <v>0</v>
      </c>
      <c r="G38" s="154" cm="1">
        <f t="array" aca="1" ref="G38" ca="1">IF(OR(G$16="",G$16=0,G21=0),0,FLOOR(G$16/SUMPRODUCT(--(G$21:G$32&gt;0)),1)+IF(SUMPRODUCT(--(G$21:G21&gt;0))&gt;SUMPRODUCT(--(G$21:G$32&gt;0))-(G$16-FLOOR(G$16/SUMPRODUCT(--(G$21:G$32&gt;0)),1)*SUMPRODUCT(--(G$21:G$32&gt;0))),1,0))</f>
        <v>0</v>
      </c>
      <c r="H38" s="154" cm="1">
        <f t="array" aca="1" ref="H38" ca="1">IF(OR(H$16="",H$16=0,H21=0),0,FLOOR(H$16/SUMPRODUCT(--(H$21:H$32&gt;0)),1)+IF(SUMPRODUCT(--(H$21:H21&gt;0))&gt;SUMPRODUCT(--(H$21:H$32&gt;0))-(H$16-FLOOR(H$16/SUMPRODUCT(--(H$21:H$32&gt;0)),1)*SUMPRODUCT(--(H$21:H$32&gt;0))),1,0))</f>
        <v>0</v>
      </c>
      <c r="I38" s="154" cm="1">
        <f t="array" aca="1" ref="I38" ca="1">IF(OR(I$16="",I$16=0,I21=0),0,FLOOR(I$16/SUMPRODUCT(--(I$21:I$32&gt;0)),1)+IF(SUMPRODUCT(--(I$21:I21&gt;0))&gt;SUMPRODUCT(--(I$21:I$32&gt;0))-(I$16-FLOOR(I$16/SUMPRODUCT(--(I$21:I$32&gt;0)),1)*SUMPRODUCT(--(I$21:I$32&gt;0))),1,0))</f>
        <v>0</v>
      </c>
      <c r="J38" s="154" cm="1">
        <f t="array" aca="1" ref="J38" ca="1">IF(OR(J$16="",J$16=0,J21=0),0,FLOOR(J$16/SUMPRODUCT(--(J$21:J$32&gt;0)),1)+IF(SUMPRODUCT(--(J$21:J21&gt;0))&gt;SUMPRODUCT(--(J$21:J$32&gt;0))-(J$16-FLOOR(J$16/SUMPRODUCT(--(J$21:J$32&gt;0)),1)*SUMPRODUCT(--(J$21:J$32&gt;0))),1,0))</f>
        <v>0</v>
      </c>
      <c r="K38" s="154" cm="1">
        <f t="array" aca="1" ref="K38" ca="1">IF(OR(K$16="",K$16=0,K21=0),0,FLOOR(K$16/SUMPRODUCT(--(K$21:K$32&gt;0)),1)+IF(SUMPRODUCT(--(K$21:K21&gt;0))&gt;SUMPRODUCT(--(K$21:K$32&gt;0))-(K$16-FLOOR(K$16/SUMPRODUCT(--(K$21:K$32&gt;0)),1)*SUMPRODUCT(--(K$21:K$32&gt;0))),1,0))</f>
        <v>0</v>
      </c>
      <c r="L38" s="154" cm="1">
        <f t="array" aca="1" ref="L38" ca="1">IF(OR(L$16="",L$16=0,L21=0),0,FLOOR(L$16/SUMPRODUCT(--(L$21:L$32&gt;0)),1)+IF(SUMPRODUCT(--(L$21:L21&gt;0))&gt;SUMPRODUCT(--(L$21:L$32&gt;0))-(L$16-FLOOR(L$16/SUMPRODUCT(--(L$21:L$32&gt;0)),1)*SUMPRODUCT(--(L$21:L$32&gt;0))),1,0))</f>
        <v>0</v>
      </c>
      <c r="M38" s="154" cm="1">
        <f t="array" ref="M38">IF(OR(M$16="",M$16=0,M21=0),0,FLOOR(M$16/SUMPRODUCT(--(M$21:M$32&gt;0)),1)+IF(SUMPRODUCT(--(M$21:M21&gt;0))&gt;SUMPRODUCT(--(M$21:M$32&gt;0))-(M$16-FLOOR(M$16/SUMPRODUCT(--(M$21:M$32&gt;0)),1)*SUMPRODUCT(--(M$21:M$32&gt;0))),1,0))</f>
        <v>0</v>
      </c>
      <c r="N38" s="154" cm="1">
        <f t="array" ref="N38">IF(OR(N$16="",N$16=0,N21=0),0,FLOOR(N$16/SUMPRODUCT(--(N$21:N$32&gt;0)),1)+IF(SUMPRODUCT(--(N$21:N21&gt;0))&gt;SUMPRODUCT(--(N$21:N$32&gt;0))-(N$16-FLOOR(N$16/SUMPRODUCT(--(N$21:N$32&gt;0)),1)*SUMPRODUCT(--(N$21:N$32&gt;0))),1,0))</f>
        <v>0</v>
      </c>
      <c r="O38" s="154" cm="1">
        <f t="array" ref="O38">IF(OR(O$16="",O$16=0,O21=0),0,FLOOR(O$16/SUMPRODUCT(--(O$21:O$32&gt;0)),1)+IF(SUMPRODUCT(--(O$21:O21&gt;0))&gt;SUMPRODUCT(--(O$21:O$32&gt;0))-(O$16-FLOOR(O$16/SUMPRODUCT(--(O$21:O$32&gt;0)),1)*SUMPRODUCT(--(O$21:O$32&gt;0))),1,0))</f>
        <v>0</v>
      </c>
      <c r="P38" s="154" cm="1">
        <f t="array" ref="P38">IF(OR(P$16="",P$16=0,P21=0),0,FLOOR(P$16/SUMPRODUCT(--(P$21:P$32&gt;0)),1)+IF(SUMPRODUCT(--(P$21:P21&gt;0))&gt;SUMPRODUCT(--(P$21:P$32&gt;0))-(P$16-FLOOR(P$16/SUMPRODUCT(--(P$21:P$32&gt;0)),1)*SUMPRODUCT(--(P$21:P$32&gt;0))),1,0))</f>
        <v>0</v>
      </c>
      <c r="Q38" s="154" cm="1">
        <f t="array" ref="Q38">IF(OR(Q$16="",Q$16=0,Q21=0),0,FLOOR(Q$16/SUMPRODUCT(--(Q$21:Q$32&gt;0)),1)+IF(SUMPRODUCT(--(Q$21:Q21&gt;0))&gt;SUMPRODUCT(--(Q$21:Q$32&gt;0))-(Q$16-FLOOR(Q$16/SUMPRODUCT(--(Q$21:Q$32&gt;0)),1)*SUMPRODUCT(--(Q$21:Q$32&gt;0))),1,0))</f>
        <v>0</v>
      </c>
      <c r="R38" s="154" cm="1">
        <f t="array" ref="R38">IF(OR(R$16="",R$16=0,R21=0),0,FLOOR(R$16/SUMPRODUCT(--(R$21:R$32&gt;0)),1)+IF(SUMPRODUCT(--(R$21:R21&gt;0))&gt;SUMPRODUCT(--(R$21:R$32&gt;0))-(R$16-FLOOR(R$16/SUMPRODUCT(--(R$21:R$32&gt;0)),1)*SUMPRODUCT(--(R$21:R$32&gt;0))),1,0))</f>
        <v>0</v>
      </c>
      <c r="S38" s="418">
        <v>20</v>
      </c>
      <c r="T38" s="182">
        <f t="shared" ref="T38:T49" ca="1" si="18">SUM(C38:R38)/4.33</f>
        <v>0</v>
      </c>
      <c r="U38" s="183">
        <f t="shared" ref="U38:U49" ca="1" si="19">SUMPRODUCT(C38:R38,$C$8:$R$8)/60/4.33</f>
        <v>0</v>
      </c>
      <c r="V38" s="184">
        <f ca="1">U38/38*5</f>
        <v>0</v>
      </c>
      <c r="W38" s="185">
        <f t="shared" ref="W38:W49" ca="1" si="20">IFERROR(U38/S38,"")</f>
        <v>0</v>
      </c>
      <c r="X38" s="419" t="str">
        <f t="shared" ref="X38:X49" ca="1" si="21">IF(W38="","",IF(W38&gt;1,"GOULOT",IF(W38&gt;0.8,"Tendu","OK")))</f>
        <v>OK</v>
      </c>
      <c r="Y38" s="186"/>
    </row>
    <row r="39" spans="1:25">
      <c r="A39" s="843"/>
      <c r="B39" s="417" t="str">
        <f t="shared" si="17"/>
        <v>FÉVRIER</v>
      </c>
      <c r="C39" s="154" cm="1">
        <f t="array" aca="1" ref="C39" ca="1">IF(OR(C$16="",C$16=0,C22=0),0,FLOOR(C$16/SUMPRODUCT(--(C$21:C$32&gt;0)),1)+IF(SUMPRODUCT(--(C$21:C22&gt;0))&gt;SUMPRODUCT(--(C$21:C$32&gt;0))-(C$16-FLOOR(C$16/SUMPRODUCT(--(C$21:C$32&gt;0)),1)*SUMPRODUCT(--(C$21:C$32&gt;0))),1,0))</f>
        <v>0</v>
      </c>
      <c r="D39" s="154" cm="1">
        <f t="array" aca="1" ref="D39" ca="1">IF(OR(D$16="",D$16=0,D22=0),0,FLOOR(D$16/SUMPRODUCT(--(D$21:D$32&gt;0)),1)+IF(SUMPRODUCT(--(D$21:D22&gt;0))&gt;SUMPRODUCT(--(D$21:D$32&gt;0))-(D$16-FLOOR(D$16/SUMPRODUCT(--(D$21:D$32&gt;0)),1)*SUMPRODUCT(--(D$21:D$32&gt;0))),1,0))</f>
        <v>0</v>
      </c>
      <c r="E39" s="154" cm="1">
        <f t="array" aca="1" ref="E39" ca="1">IF(OR(E$16="",E$16=0,E22=0),0,FLOOR(E$16/SUMPRODUCT(--(E$21:E$32&gt;0)),1)+IF(SUMPRODUCT(--(E$21:E22&gt;0))&gt;SUMPRODUCT(--(E$21:E$32&gt;0))-(E$16-FLOOR(E$16/SUMPRODUCT(--(E$21:E$32&gt;0)),1)*SUMPRODUCT(--(E$21:E$32&gt;0))),1,0))</f>
        <v>0</v>
      </c>
      <c r="F39" s="154" cm="1">
        <f t="array" aca="1" ref="F39" ca="1">IF(OR(F$16="",F$16=0,F22=0),0,FLOOR(F$16/SUMPRODUCT(--(F$21:F$32&gt;0)),1)+IF(SUMPRODUCT(--(F$21:F22&gt;0))&gt;SUMPRODUCT(--(F$21:F$32&gt;0))-(F$16-FLOOR(F$16/SUMPRODUCT(--(F$21:F$32&gt;0)),1)*SUMPRODUCT(--(F$21:F$32&gt;0))),1,0))</f>
        <v>0</v>
      </c>
      <c r="G39" s="154" cm="1">
        <f t="array" aca="1" ref="G39" ca="1">IF(OR(G$16="",G$16=0,G22=0),0,FLOOR(G$16/SUMPRODUCT(--(G$21:G$32&gt;0)),1)+IF(SUMPRODUCT(--(G$21:G22&gt;0))&gt;SUMPRODUCT(--(G$21:G$32&gt;0))-(G$16-FLOOR(G$16/SUMPRODUCT(--(G$21:G$32&gt;0)),1)*SUMPRODUCT(--(G$21:G$32&gt;0))),1,0))</f>
        <v>0</v>
      </c>
      <c r="H39" s="154" cm="1">
        <f t="array" aca="1" ref="H39" ca="1">IF(OR(H$16="",H$16=0,H22=0),0,FLOOR(H$16/SUMPRODUCT(--(H$21:H$32&gt;0)),1)+IF(SUMPRODUCT(--(H$21:H22&gt;0))&gt;SUMPRODUCT(--(H$21:H$32&gt;0))-(H$16-FLOOR(H$16/SUMPRODUCT(--(H$21:H$32&gt;0)),1)*SUMPRODUCT(--(H$21:H$32&gt;0))),1,0))</f>
        <v>0</v>
      </c>
      <c r="I39" s="154" cm="1">
        <f t="array" aca="1" ref="I39" ca="1">IF(OR(I$16="",I$16=0,I22=0),0,FLOOR(I$16/SUMPRODUCT(--(I$21:I$32&gt;0)),1)+IF(SUMPRODUCT(--(I$21:I22&gt;0))&gt;SUMPRODUCT(--(I$21:I$32&gt;0))-(I$16-FLOOR(I$16/SUMPRODUCT(--(I$21:I$32&gt;0)),1)*SUMPRODUCT(--(I$21:I$32&gt;0))),1,0))</f>
        <v>0</v>
      </c>
      <c r="J39" s="154" cm="1">
        <f t="array" aca="1" ref="J39" ca="1">IF(OR(J$16="",J$16=0,J22=0),0,FLOOR(J$16/SUMPRODUCT(--(J$21:J$32&gt;0)),1)+IF(SUMPRODUCT(--(J$21:J22&gt;0))&gt;SUMPRODUCT(--(J$21:J$32&gt;0))-(J$16-FLOOR(J$16/SUMPRODUCT(--(J$21:J$32&gt;0)),1)*SUMPRODUCT(--(J$21:J$32&gt;0))),1,0))</f>
        <v>0</v>
      </c>
      <c r="K39" s="154" cm="1">
        <f t="array" aca="1" ref="K39" ca="1">IF(OR(K$16="",K$16=0,K22=0),0,FLOOR(K$16/SUMPRODUCT(--(K$21:K$32&gt;0)),1)+IF(SUMPRODUCT(--(K$21:K22&gt;0))&gt;SUMPRODUCT(--(K$21:K$32&gt;0))-(K$16-FLOOR(K$16/SUMPRODUCT(--(K$21:K$32&gt;0)),1)*SUMPRODUCT(--(K$21:K$32&gt;0))),1,0))</f>
        <v>0</v>
      </c>
      <c r="L39" s="154" cm="1">
        <f t="array" aca="1" ref="L39" ca="1">IF(OR(L$16="",L$16=0,L22=0),0,FLOOR(L$16/SUMPRODUCT(--(L$21:L$32&gt;0)),1)+IF(SUMPRODUCT(--(L$21:L22&gt;0))&gt;SUMPRODUCT(--(L$21:L$32&gt;0))-(L$16-FLOOR(L$16/SUMPRODUCT(--(L$21:L$32&gt;0)),1)*SUMPRODUCT(--(L$21:L$32&gt;0))),1,0))</f>
        <v>0</v>
      </c>
      <c r="M39" s="154" cm="1">
        <f t="array" ref="M39">IF(OR(M$16="",M$16=0,M22=0),0,FLOOR(M$16/SUMPRODUCT(--(M$21:M$32&gt;0)),1)+IF(SUMPRODUCT(--(M$21:M22&gt;0))&gt;SUMPRODUCT(--(M$21:M$32&gt;0))-(M$16-FLOOR(M$16/SUMPRODUCT(--(M$21:M$32&gt;0)),1)*SUMPRODUCT(--(M$21:M$32&gt;0))),1,0))</f>
        <v>0</v>
      </c>
      <c r="N39" s="154" cm="1">
        <f t="array" ref="N39">IF(OR(N$16="",N$16=0,N22=0),0,FLOOR(N$16/SUMPRODUCT(--(N$21:N$32&gt;0)),1)+IF(SUMPRODUCT(--(N$21:N22&gt;0))&gt;SUMPRODUCT(--(N$21:N$32&gt;0))-(N$16-FLOOR(N$16/SUMPRODUCT(--(N$21:N$32&gt;0)),1)*SUMPRODUCT(--(N$21:N$32&gt;0))),1,0))</f>
        <v>0</v>
      </c>
      <c r="O39" s="154" cm="1">
        <f t="array" ref="O39">IF(OR(O$16="",O$16=0,O22=0),0,FLOOR(O$16/SUMPRODUCT(--(O$21:O$32&gt;0)),1)+IF(SUMPRODUCT(--(O$21:O22&gt;0))&gt;SUMPRODUCT(--(O$21:O$32&gt;0))-(O$16-FLOOR(O$16/SUMPRODUCT(--(O$21:O$32&gt;0)),1)*SUMPRODUCT(--(O$21:O$32&gt;0))),1,0))</f>
        <v>0</v>
      </c>
      <c r="P39" s="154" cm="1">
        <f t="array" ref="P39">IF(OR(P$16="",P$16=0,P22=0),0,FLOOR(P$16/SUMPRODUCT(--(P$21:P$32&gt;0)),1)+IF(SUMPRODUCT(--(P$21:P22&gt;0))&gt;SUMPRODUCT(--(P$21:P$32&gt;0))-(P$16-FLOOR(P$16/SUMPRODUCT(--(P$21:P$32&gt;0)),1)*SUMPRODUCT(--(P$21:P$32&gt;0))),1,0))</f>
        <v>0</v>
      </c>
      <c r="Q39" s="154" cm="1">
        <f t="array" ref="Q39">IF(OR(Q$16="",Q$16=0,Q22=0),0,FLOOR(Q$16/SUMPRODUCT(--(Q$21:Q$32&gt;0)),1)+IF(SUMPRODUCT(--(Q$21:Q22&gt;0))&gt;SUMPRODUCT(--(Q$21:Q$32&gt;0))-(Q$16-FLOOR(Q$16/SUMPRODUCT(--(Q$21:Q$32&gt;0)),1)*SUMPRODUCT(--(Q$21:Q$32&gt;0))),1,0))</f>
        <v>0</v>
      </c>
      <c r="R39" s="154" cm="1">
        <f t="array" ref="R39">IF(OR(R$16="",R$16=0,R22=0),0,FLOOR(R$16/SUMPRODUCT(--(R$21:R$32&gt;0)),1)+IF(SUMPRODUCT(--(R$21:R22&gt;0))&gt;SUMPRODUCT(--(R$21:R$32&gt;0))-(R$16-FLOOR(R$16/SUMPRODUCT(--(R$21:R$32&gt;0)),1)*SUMPRODUCT(--(R$21:R$32&gt;0))),1,0))</f>
        <v>0</v>
      </c>
      <c r="S39" s="418">
        <v>20</v>
      </c>
      <c r="T39" s="182">
        <f ca="1">SUM(C39:R39)/4.33</f>
        <v>0</v>
      </c>
      <c r="U39" s="183">
        <f t="shared" ca="1" si="19"/>
        <v>0</v>
      </c>
      <c r="V39" s="184">
        <f t="shared" ref="V39:V49" ca="1" si="22">U39/38*5</f>
        <v>0</v>
      </c>
      <c r="W39" s="185">
        <f t="shared" ca="1" si="20"/>
        <v>0</v>
      </c>
      <c r="X39" s="419" t="str">
        <f t="shared" ca="1" si="21"/>
        <v>OK</v>
      </c>
      <c r="Y39" s="187"/>
    </row>
    <row r="40" spans="1:25" ht="18" customHeight="1">
      <c r="A40" s="843"/>
      <c r="B40" s="417" t="str">
        <f t="shared" si="17"/>
        <v>MARS</v>
      </c>
      <c r="C40" s="154" cm="1">
        <f t="array" aca="1" ref="C40" ca="1">IF(OR(C$16="",C$16=0,C23=0),0,FLOOR(C$16/SUMPRODUCT(--(C$21:C$32&gt;0)),1)+IF(SUMPRODUCT(--(C$21:C23&gt;0))&gt;SUMPRODUCT(--(C$21:C$32&gt;0))-(C$16-FLOOR(C$16/SUMPRODUCT(--(C$21:C$32&gt;0)),1)*SUMPRODUCT(--(C$21:C$32&gt;0))),1,0))</f>
        <v>0</v>
      </c>
      <c r="D40" s="154" cm="1">
        <f t="array" aca="1" ref="D40" ca="1">IF(OR(D$16="",D$16=0,D23=0),0,FLOOR(D$16/SUMPRODUCT(--(D$21:D$32&gt;0)),1)+IF(SUMPRODUCT(--(D$21:D23&gt;0))&gt;SUMPRODUCT(--(D$21:D$32&gt;0))-(D$16-FLOOR(D$16/SUMPRODUCT(--(D$21:D$32&gt;0)),1)*SUMPRODUCT(--(D$21:D$32&gt;0))),1,0))</f>
        <v>0</v>
      </c>
      <c r="E40" s="154" cm="1">
        <f t="array" aca="1" ref="E40" ca="1">IF(OR(E$16="",E$16=0,E23=0),0,FLOOR(E$16/SUMPRODUCT(--(E$21:E$32&gt;0)),1)+IF(SUMPRODUCT(--(E$21:E23&gt;0))&gt;SUMPRODUCT(--(E$21:E$32&gt;0))-(E$16-FLOOR(E$16/SUMPRODUCT(--(E$21:E$32&gt;0)),1)*SUMPRODUCT(--(E$21:E$32&gt;0))),1,0))</f>
        <v>0</v>
      </c>
      <c r="F40" s="154" cm="1">
        <f t="array" aca="1" ref="F40" ca="1">IF(OR(F$16="",F$16=0,F23=0),0,FLOOR(F$16/SUMPRODUCT(--(F$21:F$32&gt;0)),1)+IF(SUMPRODUCT(--(F$21:F23&gt;0))&gt;SUMPRODUCT(--(F$21:F$32&gt;0))-(F$16-FLOOR(F$16/SUMPRODUCT(--(F$21:F$32&gt;0)),1)*SUMPRODUCT(--(F$21:F$32&gt;0))),1,0))</f>
        <v>0</v>
      </c>
      <c r="G40" s="154" cm="1">
        <f t="array" aca="1" ref="G40" ca="1">IF(OR(G$16="",G$16=0,G23=0),0,FLOOR(G$16/SUMPRODUCT(--(G$21:G$32&gt;0)),1)+IF(SUMPRODUCT(--(G$21:G23&gt;0))&gt;SUMPRODUCT(--(G$21:G$32&gt;0))-(G$16-FLOOR(G$16/SUMPRODUCT(--(G$21:G$32&gt;0)),1)*SUMPRODUCT(--(G$21:G$32&gt;0))),1,0))</f>
        <v>0</v>
      </c>
      <c r="H40" s="154" cm="1">
        <f t="array" aca="1" ref="H40" ca="1">IF(OR(H$16="",H$16=0,H23=0),0,FLOOR(H$16/SUMPRODUCT(--(H$21:H$32&gt;0)),1)+IF(SUMPRODUCT(--(H$21:H23&gt;0))&gt;SUMPRODUCT(--(H$21:H$32&gt;0))-(H$16-FLOOR(H$16/SUMPRODUCT(--(H$21:H$32&gt;0)),1)*SUMPRODUCT(--(H$21:H$32&gt;0))),1,0))</f>
        <v>0</v>
      </c>
      <c r="I40" s="154" cm="1">
        <f t="array" aca="1" ref="I40" ca="1">IF(OR(I$16="",I$16=0,I23=0),0,FLOOR(I$16/SUMPRODUCT(--(I$21:I$32&gt;0)),1)+IF(SUMPRODUCT(--(I$21:I23&gt;0))&gt;SUMPRODUCT(--(I$21:I$32&gt;0))-(I$16-FLOOR(I$16/SUMPRODUCT(--(I$21:I$32&gt;0)),1)*SUMPRODUCT(--(I$21:I$32&gt;0))),1,0))</f>
        <v>0</v>
      </c>
      <c r="J40" s="154" cm="1">
        <f t="array" aca="1" ref="J40" ca="1">IF(OR(J$16="",J$16=0,J23=0),0,FLOOR(J$16/SUMPRODUCT(--(J$21:J$32&gt;0)),1)+IF(SUMPRODUCT(--(J$21:J23&gt;0))&gt;SUMPRODUCT(--(J$21:J$32&gt;0))-(J$16-FLOOR(J$16/SUMPRODUCT(--(J$21:J$32&gt;0)),1)*SUMPRODUCT(--(J$21:J$32&gt;0))),1,0))</f>
        <v>0</v>
      </c>
      <c r="K40" s="154" cm="1">
        <f t="array" aca="1" ref="K40" ca="1">IF(OR(K$16="",K$16=0,K23=0),0,FLOOR(K$16/SUMPRODUCT(--(K$21:K$32&gt;0)),1)+IF(SUMPRODUCT(--(K$21:K23&gt;0))&gt;SUMPRODUCT(--(K$21:K$32&gt;0))-(K$16-FLOOR(K$16/SUMPRODUCT(--(K$21:K$32&gt;0)),1)*SUMPRODUCT(--(K$21:K$32&gt;0))),1,0))</f>
        <v>0</v>
      </c>
      <c r="L40" s="154" cm="1">
        <f t="array" aca="1" ref="L40" ca="1">IF(OR(L$16="",L$16=0,L23=0),0,FLOOR(L$16/SUMPRODUCT(--(L$21:L$32&gt;0)),1)+IF(SUMPRODUCT(--(L$21:L23&gt;0))&gt;SUMPRODUCT(--(L$21:L$32&gt;0))-(L$16-FLOOR(L$16/SUMPRODUCT(--(L$21:L$32&gt;0)),1)*SUMPRODUCT(--(L$21:L$32&gt;0))),1,0))</f>
        <v>0</v>
      </c>
      <c r="M40" s="154" cm="1">
        <f t="array" ref="M40">IF(OR(M$16="",M$16=0,M23=0),0,FLOOR(M$16/SUMPRODUCT(--(M$21:M$32&gt;0)),1)+IF(SUMPRODUCT(--(M$21:M23&gt;0))&gt;SUMPRODUCT(--(M$21:M$32&gt;0))-(M$16-FLOOR(M$16/SUMPRODUCT(--(M$21:M$32&gt;0)),1)*SUMPRODUCT(--(M$21:M$32&gt;0))),1,0))</f>
        <v>0</v>
      </c>
      <c r="N40" s="154" cm="1">
        <f t="array" ref="N40">IF(OR(N$16="",N$16=0,N23=0),0,FLOOR(N$16/SUMPRODUCT(--(N$21:N$32&gt;0)),1)+IF(SUMPRODUCT(--(N$21:N23&gt;0))&gt;SUMPRODUCT(--(N$21:N$32&gt;0))-(N$16-FLOOR(N$16/SUMPRODUCT(--(N$21:N$32&gt;0)),1)*SUMPRODUCT(--(N$21:N$32&gt;0))),1,0))</f>
        <v>0</v>
      </c>
      <c r="O40" s="154" cm="1">
        <f t="array" ref="O40">IF(OR(O$16="",O$16=0,O23=0),0,FLOOR(O$16/SUMPRODUCT(--(O$21:O$32&gt;0)),1)+IF(SUMPRODUCT(--(O$21:O23&gt;0))&gt;SUMPRODUCT(--(O$21:O$32&gt;0))-(O$16-FLOOR(O$16/SUMPRODUCT(--(O$21:O$32&gt;0)),1)*SUMPRODUCT(--(O$21:O$32&gt;0))),1,0))</f>
        <v>0</v>
      </c>
      <c r="P40" s="154" cm="1">
        <f t="array" ref="P40">IF(OR(P$16="",P$16=0,P23=0),0,FLOOR(P$16/SUMPRODUCT(--(P$21:P$32&gt;0)),1)+IF(SUMPRODUCT(--(P$21:P23&gt;0))&gt;SUMPRODUCT(--(P$21:P$32&gt;0))-(P$16-FLOOR(P$16/SUMPRODUCT(--(P$21:P$32&gt;0)),1)*SUMPRODUCT(--(P$21:P$32&gt;0))),1,0))</f>
        <v>0</v>
      </c>
      <c r="Q40" s="154" cm="1">
        <f t="array" ref="Q40">IF(OR(Q$16="",Q$16=0,Q23=0),0,FLOOR(Q$16/SUMPRODUCT(--(Q$21:Q$32&gt;0)),1)+IF(SUMPRODUCT(--(Q$21:Q23&gt;0))&gt;SUMPRODUCT(--(Q$21:Q$32&gt;0))-(Q$16-FLOOR(Q$16/SUMPRODUCT(--(Q$21:Q$32&gt;0)),1)*SUMPRODUCT(--(Q$21:Q$32&gt;0))),1,0))</f>
        <v>0</v>
      </c>
      <c r="R40" s="154" cm="1">
        <f t="array" ref="R40">IF(OR(R$16="",R$16=0,R23=0),0,FLOOR(R$16/SUMPRODUCT(--(R$21:R$32&gt;0)),1)+IF(SUMPRODUCT(--(R$21:R23&gt;0))&gt;SUMPRODUCT(--(R$21:R$32&gt;0))-(R$16-FLOOR(R$16/SUMPRODUCT(--(R$21:R$32&gt;0)),1)*SUMPRODUCT(--(R$21:R$32&gt;0))),1,0))</f>
        <v>0</v>
      </c>
      <c r="S40" s="418">
        <v>20</v>
      </c>
      <c r="T40" s="182">
        <f t="shared" ca="1" si="18"/>
        <v>0</v>
      </c>
      <c r="U40" s="183">
        <f t="shared" ca="1" si="19"/>
        <v>0</v>
      </c>
      <c r="V40" s="184">
        <f t="shared" ca="1" si="22"/>
        <v>0</v>
      </c>
      <c r="W40" s="185">
        <f t="shared" ca="1" si="20"/>
        <v>0</v>
      </c>
      <c r="X40" s="419" t="str">
        <f t="shared" ca="1" si="21"/>
        <v>OK</v>
      </c>
      <c r="Y40" s="186"/>
    </row>
    <row r="41" spans="1:25">
      <c r="A41" s="843"/>
      <c r="B41" s="417" t="str">
        <f t="shared" si="17"/>
        <v>AVRIL</v>
      </c>
      <c r="C41" s="154" cm="1">
        <f t="array" aca="1" ref="C41" ca="1">IF(OR(C$16="",C$16=0,C24=0),0,FLOOR(C$16/SUMPRODUCT(--(C$21:C$32&gt;0)),1)+IF(SUMPRODUCT(--(C$21:C24&gt;0))&gt;SUMPRODUCT(--(C$21:C$32&gt;0))-(C$16-FLOOR(C$16/SUMPRODUCT(--(C$21:C$32&gt;0)),1)*SUMPRODUCT(--(C$21:C$32&gt;0))),1,0))</f>
        <v>0</v>
      </c>
      <c r="D41" s="154" cm="1">
        <f t="array" aca="1" ref="D41" ca="1">IF(OR(D$16="",D$16=0,D24=0),0,FLOOR(D$16/SUMPRODUCT(--(D$21:D$32&gt;0)),1)+IF(SUMPRODUCT(--(D$21:D24&gt;0))&gt;SUMPRODUCT(--(D$21:D$32&gt;0))-(D$16-FLOOR(D$16/SUMPRODUCT(--(D$21:D$32&gt;0)),1)*SUMPRODUCT(--(D$21:D$32&gt;0))),1,0))</f>
        <v>0</v>
      </c>
      <c r="E41" s="154" cm="1">
        <f t="array" aca="1" ref="E41" ca="1">IF(OR(E$16="",E$16=0,E24=0),0,FLOOR(E$16/SUMPRODUCT(--(E$21:E$32&gt;0)),1)+IF(SUMPRODUCT(--(E$21:E24&gt;0))&gt;SUMPRODUCT(--(E$21:E$32&gt;0))-(E$16-FLOOR(E$16/SUMPRODUCT(--(E$21:E$32&gt;0)),1)*SUMPRODUCT(--(E$21:E$32&gt;0))),1,0))</f>
        <v>0</v>
      </c>
      <c r="F41" s="154" cm="1">
        <f t="array" aca="1" ref="F41" ca="1">IF(OR(F$16="",F$16=0,F24=0),0,FLOOR(F$16/SUMPRODUCT(--(F$21:F$32&gt;0)),1)+IF(SUMPRODUCT(--(F$21:F24&gt;0))&gt;SUMPRODUCT(--(F$21:F$32&gt;0))-(F$16-FLOOR(F$16/SUMPRODUCT(--(F$21:F$32&gt;0)),1)*SUMPRODUCT(--(F$21:F$32&gt;0))),1,0))</f>
        <v>0</v>
      </c>
      <c r="G41" s="154" cm="1">
        <f t="array" aca="1" ref="G41" ca="1">IF(OR(G$16="",G$16=0,G24=0),0,FLOOR(G$16/SUMPRODUCT(--(G$21:G$32&gt;0)),1)+IF(SUMPRODUCT(--(G$21:G24&gt;0))&gt;SUMPRODUCT(--(G$21:G$32&gt;0))-(G$16-FLOOR(G$16/SUMPRODUCT(--(G$21:G$32&gt;0)),1)*SUMPRODUCT(--(G$21:G$32&gt;0))),1,0))</f>
        <v>1</v>
      </c>
      <c r="H41" s="154" cm="1">
        <f t="array" aca="1" ref="H41" ca="1">IF(OR(H$16="",H$16=0,H24=0),0,FLOOR(H$16/SUMPRODUCT(--(H$21:H$32&gt;0)),1)+IF(SUMPRODUCT(--(H$21:H24&gt;0))&gt;SUMPRODUCT(--(H$21:H$32&gt;0))-(H$16-FLOOR(H$16/SUMPRODUCT(--(H$21:H$32&gt;0)),1)*SUMPRODUCT(--(H$21:H$32&gt;0))),1,0))</f>
        <v>0</v>
      </c>
      <c r="I41" s="154" cm="1">
        <f t="array" aca="1" ref="I41" ca="1">IF(OR(I$16="",I$16=0,I24=0),0,FLOOR(I$16/SUMPRODUCT(--(I$21:I$32&gt;0)),1)+IF(SUMPRODUCT(--(I$21:I24&gt;0))&gt;SUMPRODUCT(--(I$21:I$32&gt;0))-(I$16-FLOOR(I$16/SUMPRODUCT(--(I$21:I$32&gt;0)),1)*SUMPRODUCT(--(I$21:I$32&gt;0))),1,0))</f>
        <v>0</v>
      </c>
      <c r="J41" s="154" cm="1">
        <f t="array" aca="1" ref="J41" ca="1">IF(OR(J$16="",J$16=0,J24=0),0,FLOOR(J$16/SUMPRODUCT(--(J$21:J$32&gt;0)),1)+IF(SUMPRODUCT(--(J$21:J24&gt;0))&gt;SUMPRODUCT(--(J$21:J$32&gt;0))-(J$16-FLOOR(J$16/SUMPRODUCT(--(J$21:J$32&gt;0)),1)*SUMPRODUCT(--(J$21:J$32&gt;0))),1,0))</f>
        <v>0</v>
      </c>
      <c r="K41" s="154" cm="1">
        <f t="array" aca="1" ref="K41" ca="1">IF(OR(K$16="",K$16=0,K24=0),0,FLOOR(K$16/SUMPRODUCT(--(K$21:K$32&gt;0)),1)+IF(SUMPRODUCT(--(K$21:K24&gt;0))&gt;SUMPRODUCT(--(K$21:K$32&gt;0))-(K$16-FLOOR(K$16/SUMPRODUCT(--(K$21:K$32&gt;0)),1)*SUMPRODUCT(--(K$21:K$32&gt;0))),1,0))</f>
        <v>0</v>
      </c>
      <c r="L41" s="154" cm="1">
        <f t="array" aca="1" ref="L41" ca="1">IF(OR(L$16="",L$16=0,L24=0),0,FLOOR(L$16/SUMPRODUCT(--(L$21:L$32&gt;0)),1)+IF(SUMPRODUCT(--(L$21:L24&gt;0))&gt;SUMPRODUCT(--(L$21:L$32&gt;0))-(L$16-FLOOR(L$16/SUMPRODUCT(--(L$21:L$32&gt;0)),1)*SUMPRODUCT(--(L$21:L$32&gt;0))),1,0))</f>
        <v>0</v>
      </c>
      <c r="M41" s="154" cm="1">
        <f t="array" ref="M41">IF(OR(M$16="",M$16=0,M24=0),0,FLOOR(M$16/SUMPRODUCT(--(M$21:M$32&gt;0)),1)+IF(SUMPRODUCT(--(M$21:M24&gt;0))&gt;SUMPRODUCT(--(M$21:M$32&gt;0))-(M$16-FLOOR(M$16/SUMPRODUCT(--(M$21:M$32&gt;0)),1)*SUMPRODUCT(--(M$21:M$32&gt;0))),1,0))</f>
        <v>0</v>
      </c>
      <c r="N41" s="154" cm="1">
        <f t="array" ref="N41">IF(OR(N$16="",N$16=0,N24=0),0,FLOOR(N$16/SUMPRODUCT(--(N$21:N$32&gt;0)),1)+IF(SUMPRODUCT(--(N$21:N24&gt;0))&gt;SUMPRODUCT(--(N$21:N$32&gt;0))-(N$16-FLOOR(N$16/SUMPRODUCT(--(N$21:N$32&gt;0)),1)*SUMPRODUCT(--(N$21:N$32&gt;0))),1,0))</f>
        <v>0</v>
      </c>
      <c r="O41" s="154" cm="1">
        <f t="array" ref="O41">IF(OR(O$16="",O$16=0,O24=0),0,FLOOR(O$16/SUMPRODUCT(--(O$21:O$32&gt;0)),1)+IF(SUMPRODUCT(--(O$21:O24&gt;0))&gt;SUMPRODUCT(--(O$21:O$32&gt;0))-(O$16-FLOOR(O$16/SUMPRODUCT(--(O$21:O$32&gt;0)),1)*SUMPRODUCT(--(O$21:O$32&gt;0))),1,0))</f>
        <v>0</v>
      </c>
      <c r="P41" s="154" cm="1">
        <f t="array" ref="P41">IF(OR(P$16="",P$16=0,P24=0),0,FLOOR(P$16/SUMPRODUCT(--(P$21:P$32&gt;0)),1)+IF(SUMPRODUCT(--(P$21:P24&gt;0))&gt;SUMPRODUCT(--(P$21:P$32&gt;0))-(P$16-FLOOR(P$16/SUMPRODUCT(--(P$21:P$32&gt;0)),1)*SUMPRODUCT(--(P$21:P$32&gt;0))),1,0))</f>
        <v>0</v>
      </c>
      <c r="Q41" s="154" cm="1">
        <f t="array" ref="Q41">IF(OR(Q$16="",Q$16=0,Q24=0),0,FLOOR(Q$16/SUMPRODUCT(--(Q$21:Q$32&gt;0)),1)+IF(SUMPRODUCT(--(Q$21:Q24&gt;0))&gt;SUMPRODUCT(--(Q$21:Q$32&gt;0))-(Q$16-FLOOR(Q$16/SUMPRODUCT(--(Q$21:Q$32&gt;0)),1)*SUMPRODUCT(--(Q$21:Q$32&gt;0))),1,0))</f>
        <v>0</v>
      </c>
      <c r="R41" s="154" cm="1">
        <f t="array" ref="R41">IF(OR(R$16="",R$16=0,R24=0),0,FLOOR(R$16/SUMPRODUCT(--(R$21:R$32&gt;0)),1)+IF(SUMPRODUCT(--(R$21:R24&gt;0))&gt;SUMPRODUCT(--(R$21:R$32&gt;0))-(R$16-FLOOR(R$16/SUMPRODUCT(--(R$21:R$32&gt;0)),1)*SUMPRODUCT(--(R$21:R$32&gt;0))),1,0))</f>
        <v>0</v>
      </c>
      <c r="S41" s="418">
        <v>20</v>
      </c>
      <c r="T41" s="182">
        <f ca="1">SUM(C41:R41)/4.33</f>
        <v>0.23094688221709006</v>
      </c>
      <c r="U41" s="183">
        <f ca="1">SUMPRODUCT(C41:R41,$C$8:$R$8)/60/4.33</f>
        <v>1.1085450346420322</v>
      </c>
      <c r="V41" s="184">
        <f ca="1">U41/38*5</f>
        <v>0.14586118876868845</v>
      </c>
      <c r="W41" s="185">
        <f t="shared" ca="1" si="20"/>
        <v>5.5427251732101612E-2</v>
      </c>
      <c r="X41" s="419" t="str">
        <f t="shared" ca="1" si="21"/>
        <v>OK</v>
      </c>
      <c r="Y41" s="187"/>
    </row>
    <row r="42" spans="1:25">
      <c r="A42" s="843"/>
      <c r="B42" s="417" t="str">
        <f t="shared" si="17"/>
        <v>MAI</v>
      </c>
      <c r="C42" s="154" cm="1">
        <f t="array" aca="1" ref="C42" ca="1">IF(OR(C$16="",C$16=0,C25=0),0,FLOOR(C$16/SUMPRODUCT(--(C$21:C$32&gt;0)),1)+IF(SUMPRODUCT(--(C$21:C25&gt;0))&gt;SUMPRODUCT(--(C$21:C$32&gt;0))-(C$16-FLOOR(C$16/SUMPRODUCT(--(C$21:C$32&gt;0)),1)*SUMPRODUCT(--(C$21:C$32&gt;0))),1,0))</f>
        <v>0</v>
      </c>
      <c r="D42" s="154" cm="1">
        <f t="array" aca="1" ref="D42" ca="1">IF(OR(D$16="",D$16=0,D25=0),0,FLOOR(D$16/SUMPRODUCT(--(D$21:D$32&gt;0)),1)+IF(SUMPRODUCT(--(D$21:D25&gt;0))&gt;SUMPRODUCT(--(D$21:D$32&gt;0))-(D$16-FLOOR(D$16/SUMPRODUCT(--(D$21:D$32&gt;0)),1)*SUMPRODUCT(--(D$21:D$32&gt;0))),1,0))</f>
        <v>0</v>
      </c>
      <c r="E42" s="154" cm="1">
        <f t="array" aca="1" ref="E42" ca="1">IF(OR(E$16="",E$16=0,E25=0),0,FLOOR(E$16/SUMPRODUCT(--(E$21:E$32&gt;0)),1)+IF(SUMPRODUCT(--(E$21:E25&gt;0))&gt;SUMPRODUCT(--(E$21:E$32&gt;0))-(E$16-FLOOR(E$16/SUMPRODUCT(--(E$21:E$32&gt;0)),1)*SUMPRODUCT(--(E$21:E$32&gt;0))),1,0))</f>
        <v>0</v>
      </c>
      <c r="F42" s="154" cm="1">
        <f t="array" aca="1" ref="F42" ca="1">IF(OR(F$16="",F$16=0,F25=0),0,FLOOR(F$16/SUMPRODUCT(--(F$21:F$32&gt;0)),1)+IF(SUMPRODUCT(--(F$21:F25&gt;0))&gt;SUMPRODUCT(--(F$21:F$32&gt;0))-(F$16-FLOOR(F$16/SUMPRODUCT(--(F$21:F$32&gt;0)),1)*SUMPRODUCT(--(F$21:F$32&gt;0))),1,0))</f>
        <v>0</v>
      </c>
      <c r="G42" s="154" cm="1">
        <f t="array" aca="1" ref="G42" ca="1">IF(OR(G$16="",G$16=0,G25=0),0,FLOOR(G$16/SUMPRODUCT(--(G$21:G$32&gt;0)),1)+IF(SUMPRODUCT(--(G$21:G25&gt;0))&gt;SUMPRODUCT(--(G$21:G$32&gt;0))-(G$16-FLOOR(G$16/SUMPRODUCT(--(G$21:G$32&gt;0)),1)*SUMPRODUCT(--(G$21:G$32&gt;0))),1,0))</f>
        <v>1</v>
      </c>
      <c r="H42" s="154" cm="1">
        <f t="array" aca="1" ref="H42" ca="1">IF(OR(H$16="",H$16=0,H25=0),0,FLOOR(H$16/SUMPRODUCT(--(H$21:H$32&gt;0)),1)+IF(SUMPRODUCT(--(H$21:H25&gt;0))&gt;SUMPRODUCT(--(H$21:H$32&gt;0))-(H$16-FLOOR(H$16/SUMPRODUCT(--(H$21:H$32&gt;0)),1)*SUMPRODUCT(--(H$21:H$32&gt;0))),1,0))</f>
        <v>0</v>
      </c>
      <c r="I42" s="154" cm="1">
        <f t="array" aca="1" ref="I42" ca="1">IF(OR(I$16="",I$16=0,I25=0),0,FLOOR(I$16/SUMPRODUCT(--(I$21:I$32&gt;0)),1)+IF(SUMPRODUCT(--(I$21:I25&gt;0))&gt;SUMPRODUCT(--(I$21:I$32&gt;0))-(I$16-FLOOR(I$16/SUMPRODUCT(--(I$21:I$32&gt;0)),1)*SUMPRODUCT(--(I$21:I$32&gt;0))),1,0))</f>
        <v>0</v>
      </c>
      <c r="J42" s="154" cm="1">
        <f t="array" aca="1" ref="J42" ca="1">IF(OR(J$16="",J$16=0,J25=0),0,FLOOR(J$16/SUMPRODUCT(--(J$21:J$32&gt;0)),1)+IF(SUMPRODUCT(--(J$21:J25&gt;0))&gt;SUMPRODUCT(--(J$21:J$32&gt;0))-(J$16-FLOOR(J$16/SUMPRODUCT(--(J$21:J$32&gt;0)),1)*SUMPRODUCT(--(J$21:J$32&gt;0))),1,0))</f>
        <v>0</v>
      </c>
      <c r="K42" s="154" cm="1">
        <f t="array" aca="1" ref="K42" ca="1">IF(OR(K$16="",K$16=0,K25=0),0,FLOOR(K$16/SUMPRODUCT(--(K$21:K$32&gt;0)),1)+IF(SUMPRODUCT(--(K$21:K25&gt;0))&gt;SUMPRODUCT(--(K$21:K$32&gt;0))-(K$16-FLOOR(K$16/SUMPRODUCT(--(K$21:K$32&gt;0)),1)*SUMPRODUCT(--(K$21:K$32&gt;0))),1,0))</f>
        <v>0</v>
      </c>
      <c r="L42" s="154" cm="1">
        <f t="array" aca="1" ref="L42" ca="1">IF(OR(L$16="",L$16=0,L25=0),0,FLOOR(L$16/SUMPRODUCT(--(L$21:L$32&gt;0)),1)+IF(SUMPRODUCT(--(L$21:L25&gt;0))&gt;SUMPRODUCT(--(L$21:L$32&gt;0))-(L$16-FLOOR(L$16/SUMPRODUCT(--(L$21:L$32&gt;0)),1)*SUMPRODUCT(--(L$21:L$32&gt;0))),1,0))</f>
        <v>0</v>
      </c>
      <c r="M42" s="154" cm="1">
        <f t="array" ref="M42">IF(OR(M$16="",M$16=0,M25=0),0,FLOOR(M$16/SUMPRODUCT(--(M$21:M$32&gt;0)),1)+IF(SUMPRODUCT(--(M$21:M25&gt;0))&gt;SUMPRODUCT(--(M$21:M$32&gt;0))-(M$16-FLOOR(M$16/SUMPRODUCT(--(M$21:M$32&gt;0)),1)*SUMPRODUCT(--(M$21:M$32&gt;0))),1,0))</f>
        <v>0</v>
      </c>
      <c r="N42" s="154" cm="1">
        <f t="array" ref="N42">IF(OR(N$16="",N$16=0,N25=0),0,FLOOR(N$16/SUMPRODUCT(--(N$21:N$32&gt;0)),1)+IF(SUMPRODUCT(--(N$21:N25&gt;0))&gt;SUMPRODUCT(--(N$21:N$32&gt;0))-(N$16-FLOOR(N$16/SUMPRODUCT(--(N$21:N$32&gt;0)),1)*SUMPRODUCT(--(N$21:N$32&gt;0))),1,0))</f>
        <v>0</v>
      </c>
      <c r="O42" s="154" cm="1">
        <f t="array" ref="O42">IF(OR(O$16="",O$16=0,O25=0),0,FLOOR(O$16/SUMPRODUCT(--(O$21:O$32&gt;0)),1)+IF(SUMPRODUCT(--(O$21:O25&gt;0))&gt;SUMPRODUCT(--(O$21:O$32&gt;0))-(O$16-FLOOR(O$16/SUMPRODUCT(--(O$21:O$32&gt;0)),1)*SUMPRODUCT(--(O$21:O$32&gt;0))),1,0))</f>
        <v>0</v>
      </c>
      <c r="P42" s="154" cm="1">
        <f t="array" ref="P42">IF(OR(P$16="",P$16=0,P25=0),0,FLOOR(P$16/SUMPRODUCT(--(P$21:P$32&gt;0)),1)+IF(SUMPRODUCT(--(P$21:P25&gt;0))&gt;SUMPRODUCT(--(P$21:P$32&gt;0))-(P$16-FLOOR(P$16/SUMPRODUCT(--(P$21:P$32&gt;0)),1)*SUMPRODUCT(--(P$21:P$32&gt;0))),1,0))</f>
        <v>0</v>
      </c>
      <c r="Q42" s="154" cm="1">
        <f t="array" ref="Q42">IF(OR(Q$16="",Q$16=0,Q25=0),0,FLOOR(Q$16/SUMPRODUCT(--(Q$21:Q$32&gt;0)),1)+IF(SUMPRODUCT(--(Q$21:Q25&gt;0))&gt;SUMPRODUCT(--(Q$21:Q$32&gt;0))-(Q$16-FLOOR(Q$16/SUMPRODUCT(--(Q$21:Q$32&gt;0)),1)*SUMPRODUCT(--(Q$21:Q$32&gt;0))),1,0))</f>
        <v>0</v>
      </c>
      <c r="R42" s="154" cm="1">
        <f t="array" ref="R42">IF(OR(R$16="",R$16=0,R25=0),0,FLOOR(R$16/SUMPRODUCT(--(R$21:R$32&gt;0)),1)+IF(SUMPRODUCT(--(R$21:R25&gt;0))&gt;SUMPRODUCT(--(R$21:R$32&gt;0))-(R$16-FLOOR(R$16/SUMPRODUCT(--(R$21:R$32&gt;0)),1)*SUMPRODUCT(--(R$21:R$32&gt;0))),1,0))</f>
        <v>0</v>
      </c>
      <c r="S42" s="418">
        <v>20</v>
      </c>
      <c r="T42" s="182">
        <f t="shared" ca="1" si="18"/>
        <v>0.23094688221709006</v>
      </c>
      <c r="U42" s="183">
        <f t="shared" ca="1" si="19"/>
        <v>1.1085450346420322</v>
      </c>
      <c r="V42" s="184">
        <f t="shared" ca="1" si="22"/>
        <v>0.14586118876868845</v>
      </c>
      <c r="W42" s="185">
        <f t="shared" ca="1" si="20"/>
        <v>5.5427251732101612E-2</v>
      </c>
      <c r="X42" s="419" t="str">
        <f t="shared" ca="1" si="21"/>
        <v>OK</v>
      </c>
      <c r="Y42" s="186"/>
    </row>
    <row r="43" spans="1:25" ht="22.1" customHeight="1">
      <c r="A43" s="843"/>
      <c r="B43" s="417" t="str">
        <f t="shared" si="17"/>
        <v>JUIN</v>
      </c>
      <c r="C43" s="154" cm="1">
        <f t="array" aca="1" ref="C43" ca="1">IF(OR(C$16="",C$16=0,C26=0),0,FLOOR(C$16/SUMPRODUCT(--(C$21:C$32&gt;0)),1)+IF(SUMPRODUCT(--(C$21:C26&gt;0))&gt;SUMPRODUCT(--(C$21:C$32&gt;0))-(C$16-FLOOR(C$16/SUMPRODUCT(--(C$21:C$32&gt;0)),1)*SUMPRODUCT(--(C$21:C$32&gt;0))),1,0))</f>
        <v>0</v>
      </c>
      <c r="D43" s="154" cm="1">
        <f t="array" aca="1" ref="D43" ca="1">IF(OR(D$16="",D$16=0,D26=0),0,FLOOR(D$16/SUMPRODUCT(--(D$21:D$32&gt;0)),1)+IF(SUMPRODUCT(--(D$21:D26&gt;0))&gt;SUMPRODUCT(--(D$21:D$32&gt;0))-(D$16-FLOOR(D$16/SUMPRODUCT(--(D$21:D$32&gt;0)),1)*SUMPRODUCT(--(D$21:D$32&gt;0))),1,0))</f>
        <v>0</v>
      </c>
      <c r="E43" s="154" cm="1">
        <f t="array" aca="1" ref="E43" ca="1">IF(OR(E$16="",E$16=0,E26=0),0,FLOOR(E$16/SUMPRODUCT(--(E$21:E$32&gt;0)),1)+IF(SUMPRODUCT(--(E$21:E26&gt;0))&gt;SUMPRODUCT(--(E$21:E$32&gt;0))-(E$16-FLOOR(E$16/SUMPRODUCT(--(E$21:E$32&gt;0)),1)*SUMPRODUCT(--(E$21:E$32&gt;0))),1,0))</f>
        <v>0</v>
      </c>
      <c r="F43" s="154" cm="1">
        <f t="array" aca="1" ref="F43" ca="1">IF(OR(F$16="",F$16=0,F26=0),0,FLOOR(F$16/SUMPRODUCT(--(F$21:F$32&gt;0)),1)+IF(SUMPRODUCT(--(F$21:F26&gt;0))&gt;SUMPRODUCT(--(F$21:F$32&gt;0))-(F$16-FLOOR(F$16/SUMPRODUCT(--(F$21:F$32&gt;0)),1)*SUMPRODUCT(--(F$21:F$32&gt;0))),1,0))</f>
        <v>0</v>
      </c>
      <c r="G43" s="154" cm="1">
        <f t="array" aca="1" ref="G43" ca="1">IF(OR(G$16="",G$16=0,G26=0),0,FLOOR(G$16/SUMPRODUCT(--(G$21:G$32&gt;0)),1)+IF(SUMPRODUCT(--(G$21:G26&gt;0))&gt;SUMPRODUCT(--(G$21:G$32&gt;0))-(G$16-FLOOR(G$16/SUMPRODUCT(--(G$21:G$32&gt;0)),1)*SUMPRODUCT(--(G$21:G$32&gt;0))),1,0))</f>
        <v>0</v>
      </c>
      <c r="H43" s="154" cm="1">
        <f t="array" aca="1" ref="H43" ca="1">IF(OR(H$16="",H$16=0,H26=0),0,FLOOR(H$16/SUMPRODUCT(--(H$21:H$32&gt;0)),1)+IF(SUMPRODUCT(--(H$21:H26&gt;0))&gt;SUMPRODUCT(--(H$21:H$32&gt;0))-(H$16-FLOOR(H$16/SUMPRODUCT(--(H$21:H$32&gt;0)),1)*SUMPRODUCT(--(H$21:H$32&gt;0))),1,0))</f>
        <v>1</v>
      </c>
      <c r="I43" s="154" cm="1">
        <f t="array" aca="1" ref="I43" ca="1">IF(OR(I$16="",I$16=0,I26=0),0,FLOOR(I$16/SUMPRODUCT(--(I$21:I$32&gt;0)),1)+IF(SUMPRODUCT(--(I$21:I26&gt;0))&gt;SUMPRODUCT(--(I$21:I$32&gt;0))-(I$16-FLOOR(I$16/SUMPRODUCT(--(I$21:I$32&gt;0)),1)*SUMPRODUCT(--(I$21:I$32&gt;0))),1,0))</f>
        <v>0</v>
      </c>
      <c r="J43" s="154" cm="1">
        <f t="array" aca="1" ref="J43" ca="1">IF(OR(J$16="",J$16=0,J26=0),0,FLOOR(J$16/SUMPRODUCT(--(J$21:J$32&gt;0)),1)+IF(SUMPRODUCT(--(J$21:J26&gt;0))&gt;SUMPRODUCT(--(J$21:J$32&gt;0))-(J$16-FLOOR(J$16/SUMPRODUCT(--(J$21:J$32&gt;0)),1)*SUMPRODUCT(--(J$21:J$32&gt;0))),1,0))</f>
        <v>0</v>
      </c>
      <c r="K43" s="154" cm="1">
        <f t="array" aca="1" ref="K43" ca="1">IF(OR(K$16="",K$16=0,K26=0),0,FLOOR(K$16/SUMPRODUCT(--(K$21:K$32&gt;0)),1)+IF(SUMPRODUCT(--(K$21:K26&gt;0))&gt;SUMPRODUCT(--(K$21:K$32&gt;0))-(K$16-FLOOR(K$16/SUMPRODUCT(--(K$21:K$32&gt;0)),1)*SUMPRODUCT(--(K$21:K$32&gt;0))),1,0))</f>
        <v>0</v>
      </c>
      <c r="L43" s="154" cm="1">
        <f t="array" aca="1" ref="L43" ca="1">IF(OR(L$16="",L$16=0,L26=0),0,FLOOR(L$16/SUMPRODUCT(--(L$21:L$32&gt;0)),1)+IF(SUMPRODUCT(--(L$21:L26&gt;0))&gt;SUMPRODUCT(--(L$21:L$32&gt;0))-(L$16-FLOOR(L$16/SUMPRODUCT(--(L$21:L$32&gt;0)),1)*SUMPRODUCT(--(L$21:L$32&gt;0))),1,0))</f>
        <v>0</v>
      </c>
      <c r="M43" s="154" cm="1">
        <f t="array" ref="M43">IF(OR(M$16="",M$16=0,M26=0),0,FLOOR(M$16/SUMPRODUCT(--(M$21:M$32&gt;0)),1)+IF(SUMPRODUCT(--(M$21:M26&gt;0))&gt;SUMPRODUCT(--(M$21:M$32&gt;0))-(M$16-FLOOR(M$16/SUMPRODUCT(--(M$21:M$32&gt;0)),1)*SUMPRODUCT(--(M$21:M$32&gt;0))),1,0))</f>
        <v>0</v>
      </c>
      <c r="N43" s="154" cm="1">
        <f t="array" ref="N43">IF(OR(N$16="",N$16=0,N26=0),0,FLOOR(N$16/SUMPRODUCT(--(N$21:N$32&gt;0)),1)+IF(SUMPRODUCT(--(N$21:N26&gt;0))&gt;SUMPRODUCT(--(N$21:N$32&gt;0))-(N$16-FLOOR(N$16/SUMPRODUCT(--(N$21:N$32&gt;0)),1)*SUMPRODUCT(--(N$21:N$32&gt;0))),1,0))</f>
        <v>0</v>
      </c>
      <c r="O43" s="154" cm="1">
        <f t="array" ref="O43">IF(OR(O$16="",O$16=0,O26=0),0,FLOOR(O$16/SUMPRODUCT(--(O$21:O$32&gt;0)),1)+IF(SUMPRODUCT(--(O$21:O26&gt;0))&gt;SUMPRODUCT(--(O$21:O$32&gt;0))-(O$16-FLOOR(O$16/SUMPRODUCT(--(O$21:O$32&gt;0)),1)*SUMPRODUCT(--(O$21:O$32&gt;0))),1,0))</f>
        <v>0</v>
      </c>
      <c r="P43" s="154" cm="1">
        <f t="array" ref="P43">IF(OR(P$16="",P$16=0,P26=0),0,FLOOR(P$16/SUMPRODUCT(--(P$21:P$32&gt;0)),1)+IF(SUMPRODUCT(--(P$21:P26&gt;0))&gt;SUMPRODUCT(--(P$21:P$32&gt;0))-(P$16-FLOOR(P$16/SUMPRODUCT(--(P$21:P$32&gt;0)),1)*SUMPRODUCT(--(P$21:P$32&gt;0))),1,0))</f>
        <v>0</v>
      </c>
      <c r="Q43" s="154" cm="1">
        <f t="array" ref="Q43">IF(OR(Q$16="",Q$16=0,Q26=0),0,FLOOR(Q$16/SUMPRODUCT(--(Q$21:Q$32&gt;0)),1)+IF(SUMPRODUCT(--(Q$21:Q26&gt;0))&gt;SUMPRODUCT(--(Q$21:Q$32&gt;0))-(Q$16-FLOOR(Q$16/SUMPRODUCT(--(Q$21:Q$32&gt;0)),1)*SUMPRODUCT(--(Q$21:Q$32&gt;0))),1,0))</f>
        <v>0</v>
      </c>
      <c r="R43" s="154" cm="1">
        <f t="array" ref="R43">IF(OR(R$16="",R$16=0,R26=0),0,FLOOR(R$16/SUMPRODUCT(--(R$21:R$32&gt;0)),1)+IF(SUMPRODUCT(--(R$21:R26&gt;0))&gt;SUMPRODUCT(--(R$21:R$32&gt;0))-(R$16-FLOOR(R$16/SUMPRODUCT(--(R$21:R$32&gt;0)),1)*SUMPRODUCT(--(R$21:R$32&gt;0))),1,0))</f>
        <v>0</v>
      </c>
      <c r="S43" s="418">
        <v>20</v>
      </c>
      <c r="T43" s="182">
        <f t="shared" ca="1" si="18"/>
        <v>0.23094688221709006</v>
      </c>
      <c r="U43" s="183">
        <f t="shared" ca="1" si="19"/>
        <v>1.1085450346420322</v>
      </c>
      <c r="V43" s="184">
        <f t="shared" ca="1" si="22"/>
        <v>0.14586118876868845</v>
      </c>
      <c r="W43" s="185">
        <f t="shared" ca="1" si="20"/>
        <v>5.5427251732101612E-2</v>
      </c>
      <c r="X43" s="419" t="str">
        <f t="shared" ca="1" si="21"/>
        <v>OK</v>
      </c>
      <c r="Y43" s="187"/>
    </row>
    <row r="44" spans="1:25" ht="12.7" customHeight="1">
      <c r="A44" s="843"/>
      <c r="B44" s="417" t="str">
        <f t="shared" si="17"/>
        <v>JUILLET</v>
      </c>
      <c r="C44" s="154" cm="1">
        <f t="array" aca="1" ref="C44" ca="1">IF(OR(C$16="",C$16=0,C27=0),0,FLOOR(C$16/SUMPRODUCT(--(C$21:C$32&gt;0)),1)+IF(SUMPRODUCT(--(C$21:C27&gt;0))&gt;SUMPRODUCT(--(C$21:C$32&gt;0))-(C$16-FLOOR(C$16/SUMPRODUCT(--(C$21:C$32&gt;0)),1)*SUMPRODUCT(--(C$21:C$32&gt;0))),1,0))</f>
        <v>0</v>
      </c>
      <c r="D44" s="154" cm="1">
        <f t="array" aca="1" ref="D44" ca="1">IF(OR(D$16="",D$16=0,D27=0),0,FLOOR(D$16/SUMPRODUCT(--(D$21:D$32&gt;0)),1)+IF(SUMPRODUCT(--(D$21:D27&gt;0))&gt;SUMPRODUCT(--(D$21:D$32&gt;0))-(D$16-FLOOR(D$16/SUMPRODUCT(--(D$21:D$32&gt;0)),1)*SUMPRODUCT(--(D$21:D$32&gt;0))),1,0))</f>
        <v>0</v>
      </c>
      <c r="E44" s="154" cm="1">
        <f t="array" aca="1" ref="E44" ca="1">IF(OR(E$16="",E$16=0,E27=0),0,FLOOR(E$16/SUMPRODUCT(--(E$21:E$32&gt;0)),1)+IF(SUMPRODUCT(--(E$21:E27&gt;0))&gt;SUMPRODUCT(--(E$21:E$32&gt;0))-(E$16-FLOOR(E$16/SUMPRODUCT(--(E$21:E$32&gt;0)),1)*SUMPRODUCT(--(E$21:E$32&gt;0))),1,0))</f>
        <v>0</v>
      </c>
      <c r="F44" s="154" cm="1">
        <f t="array" aca="1" ref="F44" ca="1">IF(OR(F$16="",F$16=0,F27=0),0,FLOOR(F$16/SUMPRODUCT(--(F$21:F$32&gt;0)),1)+IF(SUMPRODUCT(--(F$21:F27&gt;0))&gt;SUMPRODUCT(--(F$21:F$32&gt;0))-(F$16-FLOOR(F$16/SUMPRODUCT(--(F$21:F$32&gt;0)),1)*SUMPRODUCT(--(F$21:F$32&gt;0))),1,0))</f>
        <v>0</v>
      </c>
      <c r="G44" s="154" cm="1">
        <f t="array" aca="1" ref="G44" ca="1">IF(OR(G$16="",G$16=0,G27=0),0,FLOOR(G$16/SUMPRODUCT(--(G$21:G$32&gt;0)),1)+IF(SUMPRODUCT(--(G$21:G27&gt;0))&gt;SUMPRODUCT(--(G$21:G$32&gt;0))-(G$16-FLOOR(G$16/SUMPRODUCT(--(G$21:G$32&gt;0)),1)*SUMPRODUCT(--(G$21:G$32&gt;0))),1,0))</f>
        <v>0</v>
      </c>
      <c r="H44" s="154" cm="1">
        <f t="array" aca="1" ref="H44" ca="1">IF(OR(H$16="",H$16=0,H27=0),0,FLOOR(H$16/SUMPRODUCT(--(H$21:H$32&gt;0)),1)+IF(SUMPRODUCT(--(H$21:H27&gt;0))&gt;SUMPRODUCT(--(H$21:H$32&gt;0))-(H$16-FLOOR(H$16/SUMPRODUCT(--(H$21:H$32&gt;0)),1)*SUMPRODUCT(--(H$21:H$32&gt;0))),1,0))</f>
        <v>0</v>
      </c>
      <c r="I44" s="154" cm="1">
        <f t="array" aca="1" ref="I44" ca="1">IF(OR(I$16="",I$16=0,I27=0),0,FLOOR(I$16/SUMPRODUCT(--(I$21:I$32&gt;0)),1)+IF(SUMPRODUCT(--(I$21:I27&gt;0))&gt;SUMPRODUCT(--(I$21:I$32&gt;0))-(I$16-FLOOR(I$16/SUMPRODUCT(--(I$21:I$32&gt;0)),1)*SUMPRODUCT(--(I$21:I$32&gt;0))),1,0))</f>
        <v>0</v>
      </c>
      <c r="J44" s="154" cm="1">
        <f t="array" aca="1" ref="J44" ca="1">IF(OR(J$16="",J$16=0,J27=0),0,FLOOR(J$16/SUMPRODUCT(--(J$21:J$32&gt;0)),1)+IF(SUMPRODUCT(--(J$21:J27&gt;0))&gt;SUMPRODUCT(--(J$21:J$32&gt;0))-(J$16-FLOOR(J$16/SUMPRODUCT(--(J$21:J$32&gt;0)),1)*SUMPRODUCT(--(J$21:J$32&gt;0))),1,0))</f>
        <v>0</v>
      </c>
      <c r="K44" s="154" cm="1">
        <f t="array" aca="1" ref="K44" ca="1">IF(OR(K$16="",K$16=0,K27=0),0,FLOOR(K$16/SUMPRODUCT(--(K$21:K$32&gt;0)),1)+IF(SUMPRODUCT(--(K$21:K27&gt;0))&gt;SUMPRODUCT(--(K$21:K$32&gt;0))-(K$16-FLOOR(K$16/SUMPRODUCT(--(K$21:K$32&gt;0)),1)*SUMPRODUCT(--(K$21:K$32&gt;0))),1,0))</f>
        <v>0</v>
      </c>
      <c r="L44" s="154" cm="1">
        <f t="array" aca="1" ref="L44" ca="1">IF(OR(L$16="",L$16=0,L27=0),0,FLOOR(L$16/SUMPRODUCT(--(L$21:L$32&gt;0)),1)+IF(SUMPRODUCT(--(L$21:L27&gt;0))&gt;SUMPRODUCT(--(L$21:L$32&gt;0))-(L$16-FLOOR(L$16/SUMPRODUCT(--(L$21:L$32&gt;0)),1)*SUMPRODUCT(--(L$21:L$32&gt;0))),1,0))</f>
        <v>0</v>
      </c>
      <c r="M44" s="154" cm="1">
        <f t="array" ref="M44">IF(OR(M$16="",M$16=0,M27=0),0,FLOOR(M$16/SUMPRODUCT(--(M$21:M$32&gt;0)),1)+IF(SUMPRODUCT(--(M$21:M27&gt;0))&gt;SUMPRODUCT(--(M$21:M$32&gt;0))-(M$16-FLOOR(M$16/SUMPRODUCT(--(M$21:M$32&gt;0)),1)*SUMPRODUCT(--(M$21:M$32&gt;0))),1,0))</f>
        <v>0</v>
      </c>
      <c r="N44" s="154" cm="1">
        <f t="array" ref="N44">IF(OR(N$16="",N$16=0,N27=0),0,FLOOR(N$16/SUMPRODUCT(--(N$21:N$32&gt;0)),1)+IF(SUMPRODUCT(--(N$21:N27&gt;0))&gt;SUMPRODUCT(--(N$21:N$32&gt;0))-(N$16-FLOOR(N$16/SUMPRODUCT(--(N$21:N$32&gt;0)),1)*SUMPRODUCT(--(N$21:N$32&gt;0))),1,0))</f>
        <v>0</v>
      </c>
      <c r="O44" s="154" cm="1">
        <f t="array" ref="O44">IF(OR(O$16="",O$16=0,O27=0),0,FLOOR(O$16/SUMPRODUCT(--(O$21:O$32&gt;0)),1)+IF(SUMPRODUCT(--(O$21:O27&gt;0))&gt;SUMPRODUCT(--(O$21:O$32&gt;0))-(O$16-FLOOR(O$16/SUMPRODUCT(--(O$21:O$32&gt;0)),1)*SUMPRODUCT(--(O$21:O$32&gt;0))),1,0))</f>
        <v>0</v>
      </c>
      <c r="P44" s="154" cm="1">
        <f t="array" ref="P44">IF(OR(P$16="",P$16=0,P27=0),0,FLOOR(P$16/SUMPRODUCT(--(P$21:P$32&gt;0)),1)+IF(SUMPRODUCT(--(P$21:P27&gt;0))&gt;SUMPRODUCT(--(P$21:P$32&gt;0))-(P$16-FLOOR(P$16/SUMPRODUCT(--(P$21:P$32&gt;0)),1)*SUMPRODUCT(--(P$21:P$32&gt;0))),1,0))</f>
        <v>0</v>
      </c>
      <c r="Q44" s="154" cm="1">
        <f t="array" ref="Q44">IF(OR(Q$16="",Q$16=0,Q27=0),0,FLOOR(Q$16/SUMPRODUCT(--(Q$21:Q$32&gt;0)),1)+IF(SUMPRODUCT(--(Q$21:Q27&gt;0))&gt;SUMPRODUCT(--(Q$21:Q$32&gt;0))-(Q$16-FLOOR(Q$16/SUMPRODUCT(--(Q$21:Q$32&gt;0)),1)*SUMPRODUCT(--(Q$21:Q$32&gt;0))),1,0))</f>
        <v>0</v>
      </c>
      <c r="R44" s="154" cm="1">
        <f t="array" ref="R44">IF(OR(R$16="",R$16=0,R27=0),0,FLOOR(R$16/SUMPRODUCT(--(R$21:R$32&gt;0)),1)+IF(SUMPRODUCT(--(R$21:R27&gt;0))&gt;SUMPRODUCT(--(R$21:R$32&gt;0))-(R$16-FLOOR(R$16/SUMPRODUCT(--(R$21:R$32&gt;0)),1)*SUMPRODUCT(--(R$21:R$32&gt;0))),1,0))</f>
        <v>0</v>
      </c>
      <c r="S44" s="418">
        <v>20</v>
      </c>
      <c r="T44" s="182">
        <f t="shared" ca="1" si="18"/>
        <v>0</v>
      </c>
      <c r="U44" s="183">
        <f t="shared" ca="1" si="19"/>
        <v>0</v>
      </c>
      <c r="V44" s="184">
        <f t="shared" ca="1" si="22"/>
        <v>0</v>
      </c>
      <c r="W44" s="185">
        <f t="shared" ca="1" si="20"/>
        <v>0</v>
      </c>
      <c r="X44" s="419" t="str">
        <f t="shared" ca="1" si="21"/>
        <v>OK</v>
      </c>
      <c r="Y44" s="186"/>
    </row>
    <row r="45" spans="1:25">
      <c r="A45" s="843"/>
      <c r="B45" s="417" t="str">
        <f t="shared" si="17"/>
        <v>AOÛT</v>
      </c>
      <c r="C45" s="154" cm="1">
        <f t="array" aca="1" ref="C45" ca="1">IF(OR(C$16="",C$16=0,C28=0),0,FLOOR(C$16/SUMPRODUCT(--(C$21:C$32&gt;0)),1)+IF(SUMPRODUCT(--(C$21:C28&gt;0))&gt;SUMPRODUCT(--(C$21:C$32&gt;0))-(C$16-FLOOR(C$16/SUMPRODUCT(--(C$21:C$32&gt;0)),1)*SUMPRODUCT(--(C$21:C$32&gt;0))),1,0))</f>
        <v>0</v>
      </c>
      <c r="D45" s="154" cm="1">
        <f t="array" aca="1" ref="D45" ca="1">IF(OR(D$16="",D$16=0,D28=0),0,FLOOR(D$16/SUMPRODUCT(--(D$21:D$32&gt;0)),1)+IF(SUMPRODUCT(--(D$21:D28&gt;0))&gt;SUMPRODUCT(--(D$21:D$32&gt;0))-(D$16-FLOOR(D$16/SUMPRODUCT(--(D$21:D$32&gt;0)),1)*SUMPRODUCT(--(D$21:D$32&gt;0))),1,0))</f>
        <v>0</v>
      </c>
      <c r="E45" s="154" cm="1">
        <f t="array" aca="1" ref="E45" ca="1">IF(OR(E$16="",E$16=0,E28=0),0,FLOOR(E$16/SUMPRODUCT(--(E$21:E$32&gt;0)),1)+IF(SUMPRODUCT(--(E$21:E28&gt;0))&gt;SUMPRODUCT(--(E$21:E$32&gt;0))-(E$16-FLOOR(E$16/SUMPRODUCT(--(E$21:E$32&gt;0)),1)*SUMPRODUCT(--(E$21:E$32&gt;0))),1,0))</f>
        <v>0</v>
      </c>
      <c r="F45" s="154" cm="1">
        <f t="array" aca="1" ref="F45" ca="1">IF(OR(F$16="",F$16=0,F28=0),0,FLOOR(F$16/SUMPRODUCT(--(F$21:F$32&gt;0)),1)+IF(SUMPRODUCT(--(F$21:F28&gt;0))&gt;SUMPRODUCT(--(F$21:F$32&gt;0))-(F$16-FLOOR(F$16/SUMPRODUCT(--(F$21:F$32&gt;0)),1)*SUMPRODUCT(--(F$21:F$32&gt;0))),1,0))</f>
        <v>0</v>
      </c>
      <c r="G45" s="154" cm="1">
        <f t="array" aca="1" ref="G45" ca="1">IF(OR(G$16="",G$16=0,G28=0),0,FLOOR(G$16/SUMPRODUCT(--(G$21:G$32&gt;0)),1)+IF(SUMPRODUCT(--(G$21:G28&gt;0))&gt;SUMPRODUCT(--(G$21:G$32&gt;0))-(G$16-FLOOR(G$16/SUMPRODUCT(--(G$21:G$32&gt;0)),1)*SUMPRODUCT(--(G$21:G$32&gt;0))),1,0))</f>
        <v>0</v>
      </c>
      <c r="H45" s="154" cm="1">
        <f t="array" aca="1" ref="H45" ca="1">IF(OR(H$16="",H$16=0,H28=0),0,FLOOR(H$16/SUMPRODUCT(--(H$21:H$32&gt;0)),1)+IF(SUMPRODUCT(--(H$21:H28&gt;0))&gt;SUMPRODUCT(--(H$21:H$32&gt;0))-(H$16-FLOOR(H$16/SUMPRODUCT(--(H$21:H$32&gt;0)),1)*SUMPRODUCT(--(H$21:H$32&gt;0))),1,0))</f>
        <v>0</v>
      </c>
      <c r="I45" s="154" cm="1">
        <f t="array" aca="1" ref="I45" ca="1">IF(OR(I$16="",I$16=0,I28=0),0,FLOOR(I$16/SUMPRODUCT(--(I$21:I$32&gt;0)),1)+IF(SUMPRODUCT(--(I$21:I28&gt;0))&gt;SUMPRODUCT(--(I$21:I$32&gt;0))-(I$16-FLOOR(I$16/SUMPRODUCT(--(I$21:I$32&gt;0)),1)*SUMPRODUCT(--(I$21:I$32&gt;0))),1,0))</f>
        <v>0</v>
      </c>
      <c r="J45" s="154" cm="1">
        <f t="array" aca="1" ref="J45" ca="1">IF(OR(J$16="",J$16=0,J28=0),0,FLOOR(J$16/SUMPRODUCT(--(J$21:J$32&gt;0)),1)+IF(SUMPRODUCT(--(J$21:J28&gt;0))&gt;SUMPRODUCT(--(J$21:J$32&gt;0))-(J$16-FLOOR(J$16/SUMPRODUCT(--(J$21:J$32&gt;0)),1)*SUMPRODUCT(--(J$21:J$32&gt;0))),1,0))</f>
        <v>0</v>
      </c>
      <c r="K45" s="154" cm="1">
        <f t="array" aca="1" ref="K45" ca="1">IF(OR(K$16="",K$16=0,K28=0),0,FLOOR(K$16/SUMPRODUCT(--(K$21:K$32&gt;0)),1)+IF(SUMPRODUCT(--(K$21:K28&gt;0))&gt;SUMPRODUCT(--(K$21:K$32&gt;0))-(K$16-FLOOR(K$16/SUMPRODUCT(--(K$21:K$32&gt;0)),1)*SUMPRODUCT(--(K$21:K$32&gt;0))),1,0))</f>
        <v>0</v>
      </c>
      <c r="L45" s="154" cm="1">
        <f t="array" aca="1" ref="L45" ca="1">IF(OR(L$16="",L$16=0,L28=0),0,FLOOR(L$16/SUMPRODUCT(--(L$21:L$32&gt;0)),1)+IF(SUMPRODUCT(--(L$21:L28&gt;0))&gt;SUMPRODUCT(--(L$21:L$32&gt;0))-(L$16-FLOOR(L$16/SUMPRODUCT(--(L$21:L$32&gt;0)),1)*SUMPRODUCT(--(L$21:L$32&gt;0))),1,0))</f>
        <v>0</v>
      </c>
      <c r="M45" s="154" cm="1">
        <f t="array" ref="M45">IF(OR(M$16="",M$16=0,M28=0),0,FLOOR(M$16/SUMPRODUCT(--(M$21:M$32&gt;0)),1)+IF(SUMPRODUCT(--(M$21:M28&gt;0))&gt;SUMPRODUCT(--(M$21:M$32&gt;0))-(M$16-FLOOR(M$16/SUMPRODUCT(--(M$21:M$32&gt;0)),1)*SUMPRODUCT(--(M$21:M$32&gt;0))),1,0))</f>
        <v>0</v>
      </c>
      <c r="N45" s="154" cm="1">
        <f t="array" ref="N45">IF(OR(N$16="",N$16=0,N28=0),0,FLOOR(N$16/SUMPRODUCT(--(N$21:N$32&gt;0)),1)+IF(SUMPRODUCT(--(N$21:N28&gt;0))&gt;SUMPRODUCT(--(N$21:N$32&gt;0))-(N$16-FLOOR(N$16/SUMPRODUCT(--(N$21:N$32&gt;0)),1)*SUMPRODUCT(--(N$21:N$32&gt;0))),1,0))</f>
        <v>0</v>
      </c>
      <c r="O45" s="154" cm="1">
        <f t="array" ref="O45">IF(OR(O$16="",O$16=0,O28=0),0,FLOOR(O$16/SUMPRODUCT(--(O$21:O$32&gt;0)),1)+IF(SUMPRODUCT(--(O$21:O28&gt;0))&gt;SUMPRODUCT(--(O$21:O$32&gt;0))-(O$16-FLOOR(O$16/SUMPRODUCT(--(O$21:O$32&gt;0)),1)*SUMPRODUCT(--(O$21:O$32&gt;0))),1,0))</f>
        <v>0</v>
      </c>
      <c r="P45" s="154" cm="1">
        <f t="array" ref="P45">IF(OR(P$16="",P$16=0,P28=0),0,FLOOR(P$16/SUMPRODUCT(--(P$21:P$32&gt;0)),1)+IF(SUMPRODUCT(--(P$21:P28&gt;0))&gt;SUMPRODUCT(--(P$21:P$32&gt;0))-(P$16-FLOOR(P$16/SUMPRODUCT(--(P$21:P$32&gt;0)),1)*SUMPRODUCT(--(P$21:P$32&gt;0))),1,0))</f>
        <v>0</v>
      </c>
      <c r="Q45" s="154" cm="1">
        <f t="array" ref="Q45">IF(OR(Q$16="",Q$16=0,Q28=0),0,FLOOR(Q$16/SUMPRODUCT(--(Q$21:Q$32&gt;0)),1)+IF(SUMPRODUCT(--(Q$21:Q28&gt;0))&gt;SUMPRODUCT(--(Q$21:Q$32&gt;0))-(Q$16-FLOOR(Q$16/SUMPRODUCT(--(Q$21:Q$32&gt;0)),1)*SUMPRODUCT(--(Q$21:Q$32&gt;0))),1,0))</f>
        <v>0</v>
      </c>
      <c r="R45" s="154" cm="1">
        <f t="array" ref="R45">IF(OR(R$16="",R$16=0,R28=0),0,FLOOR(R$16/SUMPRODUCT(--(R$21:R$32&gt;0)),1)+IF(SUMPRODUCT(--(R$21:R28&gt;0))&gt;SUMPRODUCT(--(R$21:R$32&gt;0))-(R$16-FLOOR(R$16/SUMPRODUCT(--(R$21:R$32&gt;0)),1)*SUMPRODUCT(--(R$21:R$32&gt;0))),1,0))</f>
        <v>0</v>
      </c>
      <c r="S45" s="418">
        <v>20</v>
      </c>
      <c r="T45" s="182">
        <f t="shared" ca="1" si="18"/>
        <v>0</v>
      </c>
      <c r="U45" s="183">
        <f t="shared" ca="1" si="19"/>
        <v>0</v>
      </c>
      <c r="V45" s="184">
        <f t="shared" ca="1" si="22"/>
        <v>0</v>
      </c>
      <c r="W45" s="185">
        <f t="shared" ca="1" si="20"/>
        <v>0</v>
      </c>
      <c r="X45" s="419" t="str">
        <f t="shared" ca="1" si="21"/>
        <v>OK</v>
      </c>
      <c r="Y45" s="187"/>
    </row>
    <row r="46" spans="1:25">
      <c r="A46" s="843"/>
      <c r="B46" s="417" t="str">
        <f t="shared" si="17"/>
        <v>SEPTEMBRE</v>
      </c>
      <c r="C46" s="154" cm="1">
        <f t="array" aca="1" ref="C46" ca="1">IF(OR(C$16="",C$16=0,C29=0),0,FLOOR(C$16/SUMPRODUCT(--(C$21:C$32&gt;0)),1)+IF(SUMPRODUCT(--(C$21:C29&gt;0))&gt;SUMPRODUCT(--(C$21:C$32&gt;0))-(C$16-FLOOR(C$16/SUMPRODUCT(--(C$21:C$32&gt;0)),1)*SUMPRODUCT(--(C$21:C$32&gt;0))),1,0))</f>
        <v>0</v>
      </c>
      <c r="D46" s="154" cm="1">
        <f t="array" aca="1" ref="D46" ca="1">IF(OR(D$16="",D$16=0,D29=0),0,FLOOR(D$16/SUMPRODUCT(--(D$21:D$32&gt;0)),1)+IF(SUMPRODUCT(--(D$21:D29&gt;0))&gt;SUMPRODUCT(--(D$21:D$32&gt;0))-(D$16-FLOOR(D$16/SUMPRODUCT(--(D$21:D$32&gt;0)),1)*SUMPRODUCT(--(D$21:D$32&gt;0))),1,0))</f>
        <v>0</v>
      </c>
      <c r="E46" s="154" cm="1">
        <f t="array" aca="1" ref="E46" ca="1">IF(OR(E$16="",E$16=0,E29=0),0,FLOOR(E$16/SUMPRODUCT(--(E$21:E$32&gt;0)),1)+IF(SUMPRODUCT(--(E$21:E29&gt;0))&gt;SUMPRODUCT(--(E$21:E$32&gt;0))-(E$16-FLOOR(E$16/SUMPRODUCT(--(E$21:E$32&gt;0)),1)*SUMPRODUCT(--(E$21:E$32&gt;0))),1,0))</f>
        <v>1</v>
      </c>
      <c r="F46" s="154" cm="1">
        <f t="array" aca="1" ref="F46" ca="1">IF(OR(F$16="",F$16=0,F29=0),0,FLOOR(F$16/SUMPRODUCT(--(F$21:F$32&gt;0)),1)+IF(SUMPRODUCT(--(F$21:F29&gt;0))&gt;SUMPRODUCT(--(F$21:F$32&gt;0))-(F$16-FLOOR(F$16/SUMPRODUCT(--(F$21:F$32&gt;0)),1)*SUMPRODUCT(--(F$21:F$32&gt;0))),1,0))</f>
        <v>0</v>
      </c>
      <c r="G46" s="154" cm="1">
        <f t="array" aca="1" ref="G46" ca="1">IF(OR(G$16="",G$16=0,G29=0),0,FLOOR(G$16/SUMPRODUCT(--(G$21:G$32&gt;0)),1)+IF(SUMPRODUCT(--(G$21:G29&gt;0))&gt;SUMPRODUCT(--(G$21:G$32&gt;0))-(G$16-FLOOR(G$16/SUMPRODUCT(--(G$21:G$32&gt;0)),1)*SUMPRODUCT(--(G$21:G$32&gt;0))),1,0))</f>
        <v>0</v>
      </c>
      <c r="H46" s="154" cm="1">
        <f t="array" aca="1" ref="H46" ca="1">IF(OR(H$16="",H$16=0,H29=0),0,FLOOR(H$16/SUMPRODUCT(--(H$21:H$32&gt;0)),1)+IF(SUMPRODUCT(--(H$21:H29&gt;0))&gt;SUMPRODUCT(--(H$21:H$32&gt;0))-(H$16-FLOOR(H$16/SUMPRODUCT(--(H$21:H$32&gt;0)),1)*SUMPRODUCT(--(H$21:H$32&gt;0))),1,0))</f>
        <v>0</v>
      </c>
      <c r="I46" s="154" cm="1">
        <f t="array" aca="1" ref="I46" ca="1">IF(OR(I$16="",I$16=0,I29=0),0,FLOOR(I$16/SUMPRODUCT(--(I$21:I$32&gt;0)),1)+IF(SUMPRODUCT(--(I$21:I29&gt;0))&gt;SUMPRODUCT(--(I$21:I$32&gt;0))-(I$16-FLOOR(I$16/SUMPRODUCT(--(I$21:I$32&gt;0)),1)*SUMPRODUCT(--(I$21:I$32&gt;0))),1,0))</f>
        <v>0</v>
      </c>
      <c r="J46" s="154" cm="1">
        <f t="array" aca="1" ref="J46" ca="1">IF(OR(J$16="",J$16=0,J29=0),0,FLOOR(J$16/SUMPRODUCT(--(J$21:J$32&gt;0)),1)+IF(SUMPRODUCT(--(J$21:J29&gt;0))&gt;SUMPRODUCT(--(J$21:J$32&gt;0))-(J$16-FLOOR(J$16/SUMPRODUCT(--(J$21:J$32&gt;0)),1)*SUMPRODUCT(--(J$21:J$32&gt;0))),1,0))</f>
        <v>0</v>
      </c>
      <c r="K46" s="154" cm="1">
        <f t="array" aca="1" ref="K46" ca="1">IF(OR(K$16="",K$16=0,K29=0),0,FLOOR(K$16/SUMPRODUCT(--(K$21:K$32&gt;0)),1)+IF(SUMPRODUCT(--(K$21:K29&gt;0))&gt;SUMPRODUCT(--(K$21:K$32&gt;0))-(K$16-FLOOR(K$16/SUMPRODUCT(--(K$21:K$32&gt;0)),1)*SUMPRODUCT(--(K$21:K$32&gt;0))),1,0))</f>
        <v>0</v>
      </c>
      <c r="L46" s="154" cm="1">
        <f t="array" aca="1" ref="L46" ca="1">IF(OR(L$16="",L$16=0,L29=0),0,FLOOR(L$16/SUMPRODUCT(--(L$21:L$32&gt;0)),1)+IF(SUMPRODUCT(--(L$21:L29&gt;0))&gt;SUMPRODUCT(--(L$21:L$32&gt;0))-(L$16-FLOOR(L$16/SUMPRODUCT(--(L$21:L$32&gt;0)),1)*SUMPRODUCT(--(L$21:L$32&gt;0))),1,0))</f>
        <v>0</v>
      </c>
      <c r="M46" s="154" cm="1">
        <f t="array" ref="M46">IF(OR(M$16="",M$16=0,M29=0),0,FLOOR(M$16/SUMPRODUCT(--(M$21:M$32&gt;0)),1)+IF(SUMPRODUCT(--(M$21:M29&gt;0))&gt;SUMPRODUCT(--(M$21:M$32&gt;0))-(M$16-FLOOR(M$16/SUMPRODUCT(--(M$21:M$32&gt;0)),1)*SUMPRODUCT(--(M$21:M$32&gt;0))),1,0))</f>
        <v>0</v>
      </c>
      <c r="N46" s="154" cm="1">
        <f t="array" ref="N46">IF(OR(N$16="",N$16=0,N29=0),0,FLOOR(N$16/SUMPRODUCT(--(N$21:N$32&gt;0)),1)+IF(SUMPRODUCT(--(N$21:N29&gt;0))&gt;SUMPRODUCT(--(N$21:N$32&gt;0))-(N$16-FLOOR(N$16/SUMPRODUCT(--(N$21:N$32&gt;0)),1)*SUMPRODUCT(--(N$21:N$32&gt;0))),1,0))</f>
        <v>0</v>
      </c>
      <c r="O46" s="154" cm="1">
        <f t="array" ref="O46">IF(OR(O$16="",O$16=0,O29=0),0,FLOOR(O$16/SUMPRODUCT(--(O$21:O$32&gt;0)),1)+IF(SUMPRODUCT(--(O$21:O29&gt;0))&gt;SUMPRODUCT(--(O$21:O$32&gt;0))-(O$16-FLOOR(O$16/SUMPRODUCT(--(O$21:O$32&gt;0)),1)*SUMPRODUCT(--(O$21:O$32&gt;0))),1,0))</f>
        <v>0</v>
      </c>
      <c r="P46" s="154" cm="1">
        <f t="array" ref="P46">IF(OR(P$16="",P$16=0,P29=0),0,FLOOR(P$16/SUMPRODUCT(--(P$21:P$32&gt;0)),1)+IF(SUMPRODUCT(--(P$21:P29&gt;0))&gt;SUMPRODUCT(--(P$21:P$32&gt;0))-(P$16-FLOOR(P$16/SUMPRODUCT(--(P$21:P$32&gt;0)),1)*SUMPRODUCT(--(P$21:P$32&gt;0))),1,0))</f>
        <v>0</v>
      </c>
      <c r="Q46" s="154" cm="1">
        <f t="array" ref="Q46">IF(OR(Q$16="",Q$16=0,Q29=0),0,FLOOR(Q$16/SUMPRODUCT(--(Q$21:Q$32&gt;0)),1)+IF(SUMPRODUCT(--(Q$21:Q29&gt;0))&gt;SUMPRODUCT(--(Q$21:Q$32&gt;0))-(Q$16-FLOOR(Q$16/SUMPRODUCT(--(Q$21:Q$32&gt;0)),1)*SUMPRODUCT(--(Q$21:Q$32&gt;0))),1,0))</f>
        <v>0</v>
      </c>
      <c r="R46" s="154" cm="1">
        <f t="array" ref="R46">IF(OR(R$16="",R$16=0,R29=0),0,FLOOR(R$16/SUMPRODUCT(--(R$21:R$32&gt;0)),1)+IF(SUMPRODUCT(--(R$21:R29&gt;0))&gt;SUMPRODUCT(--(R$21:R$32&gt;0))-(R$16-FLOOR(R$16/SUMPRODUCT(--(R$21:R$32&gt;0)),1)*SUMPRODUCT(--(R$21:R$32&gt;0))),1,0))</f>
        <v>0</v>
      </c>
      <c r="S46" s="418">
        <v>20</v>
      </c>
      <c r="T46" s="182">
        <f t="shared" ca="1" si="18"/>
        <v>0.23094688221709006</v>
      </c>
      <c r="U46" s="183">
        <f t="shared" ca="1" si="19"/>
        <v>1.1085450346420322</v>
      </c>
      <c r="V46" s="184">
        <f t="shared" ca="1" si="22"/>
        <v>0.14586118876868845</v>
      </c>
      <c r="W46" s="185">
        <f t="shared" ca="1" si="20"/>
        <v>5.5427251732101612E-2</v>
      </c>
      <c r="X46" s="419" t="str">
        <f t="shared" ca="1" si="21"/>
        <v>OK</v>
      </c>
      <c r="Y46" s="186"/>
    </row>
    <row r="47" spans="1:25">
      <c r="A47" s="843"/>
      <c r="B47" s="417" t="str">
        <f t="shared" si="17"/>
        <v>OCTOBRE</v>
      </c>
      <c r="C47" s="154" cm="1">
        <f t="array" aca="1" ref="C47" ca="1">IF(OR(C$16="",C$16=0,C30=0),0,FLOOR(C$16/SUMPRODUCT(--(C$21:C$32&gt;0)),1)+IF(SUMPRODUCT(--(C$21:C30&gt;0))&gt;SUMPRODUCT(--(C$21:C$32&gt;0))-(C$16-FLOOR(C$16/SUMPRODUCT(--(C$21:C$32&gt;0)),1)*SUMPRODUCT(--(C$21:C$32&gt;0))),1,0))</f>
        <v>1</v>
      </c>
      <c r="D47" s="154" cm="1">
        <f t="array" aca="1" ref="D47" ca="1">IF(OR(D$16="",D$16=0,D30=0),0,FLOOR(D$16/SUMPRODUCT(--(D$21:D$32&gt;0)),1)+IF(SUMPRODUCT(--(D$21:D30&gt;0))&gt;SUMPRODUCT(--(D$21:D$32&gt;0))-(D$16-FLOOR(D$16/SUMPRODUCT(--(D$21:D$32&gt;0)),1)*SUMPRODUCT(--(D$21:D$32&gt;0))),1,0))</f>
        <v>0</v>
      </c>
      <c r="E47" s="154" cm="1">
        <f t="array" aca="1" ref="E47" ca="1">IF(OR(E$16="",E$16=0,E30=0),0,FLOOR(E$16/SUMPRODUCT(--(E$21:E$32&gt;0)),1)+IF(SUMPRODUCT(--(E$21:E30&gt;0))&gt;SUMPRODUCT(--(E$21:E$32&gt;0))-(E$16-FLOOR(E$16/SUMPRODUCT(--(E$21:E$32&gt;0)),1)*SUMPRODUCT(--(E$21:E$32&gt;0))),1,0))</f>
        <v>1</v>
      </c>
      <c r="F47" s="154" cm="1">
        <f t="array" aca="1" ref="F47" ca="1">IF(OR(F$16="",F$16=0,F30=0),0,FLOOR(F$16/SUMPRODUCT(--(F$21:F$32&gt;0)),1)+IF(SUMPRODUCT(--(F$21:F30&gt;0))&gt;SUMPRODUCT(--(F$21:F$32&gt;0))-(F$16-FLOOR(F$16/SUMPRODUCT(--(F$21:F$32&gt;0)),1)*SUMPRODUCT(--(F$21:F$32&gt;0))),1,0))</f>
        <v>0</v>
      </c>
      <c r="G47" s="154" cm="1">
        <f t="array" aca="1" ref="G47" ca="1">IF(OR(G$16="",G$16=0,G30=0),0,FLOOR(G$16/SUMPRODUCT(--(G$21:G$32&gt;0)),1)+IF(SUMPRODUCT(--(G$21:G30&gt;0))&gt;SUMPRODUCT(--(G$21:G$32&gt;0))-(G$16-FLOOR(G$16/SUMPRODUCT(--(G$21:G$32&gt;0)),1)*SUMPRODUCT(--(G$21:G$32&gt;0))),1,0))</f>
        <v>0</v>
      </c>
      <c r="H47" s="154" cm="1">
        <f t="array" aca="1" ref="H47" ca="1">IF(OR(H$16="",H$16=0,H30=0),0,FLOOR(H$16/SUMPRODUCT(--(H$21:H$32&gt;0)),1)+IF(SUMPRODUCT(--(H$21:H30&gt;0))&gt;SUMPRODUCT(--(H$21:H$32&gt;0))-(H$16-FLOOR(H$16/SUMPRODUCT(--(H$21:H$32&gt;0)),1)*SUMPRODUCT(--(H$21:H$32&gt;0))),1,0))</f>
        <v>0</v>
      </c>
      <c r="I47" s="154" cm="1">
        <f t="array" aca="1" ref="I47" ca="1">IF(OR(I$16="",I$16=0,I30=0),0,FLOOR(I$16/SUMPRODUCT(--(I$21:I$32&gt;0)),1)+IF(SUMPRODUCT(--(I$21:I30&gt;0))&gt;SUMPRODUCT(--(I$21:I$32&gt;0))-(I$16-FLOOR(I$16/SUMPRODUCT(--(I$21:I$32&gt;0)),1)*SUMPRODUCT(--(I$21:I$32&gt;0))),1,0))</f>
        <v>0</v>
      </c>
      <c r="J47" s="154" cm="1">
        <f t="array" aca="1" ref="J47" ca="1">IF(OR(J$16="",J$16=0,J30=0),0,FLOOR(J$16/SUMPRODUCT(--(J$21:J$32&gt;0)),1)+IF(SUMPRODUCT(--(J$21:J30&gt;0))&gt;SUMPRODUCT(--(J$21:J$32&gt;0))-(J$16-FLOOR(J$16/SUMPRODUCT(--(J$21:J$32&gt;0)),1)*SUMPRODUCT(--(J$21:J$32&gt;0))),1,0))</f>
        <v>0</v>
      </c>
      <c r="K47" s="154" cm="1">
        <f t="array" aca="1" ref="K47" ca="1">IF(OR(K$16="",K$16=0,K30=0),0,FLOOR(K$16/SUMPRODUCT(--(K$21:K$32&gt;0)),1)+IF(SUMPRODUCT(--(K$21:K30&gt;0))&gt;SUMPRODUCT(--(K$21:K$32&gt;0))-(K$16-FLOOR(K$16/SUMPRODUCT(--(K$21:K$32&gt;0)),1)*SUMPRODUCT(--(K$21:K$32&gt;0))),1,0))</f>
        <v>0</v>
      </c>
      <c r="L47" s="154" cm="1">
        <f t="array" aca="1" ref="L47" ca="1">IF(OR(L$16="",L$16=0,L30=0),0,FLOOR(L$16/SUMPRODUCT(--(L$21:L$32&gt;0)),1)+IF(SUMPRODUCT(--(L$21:L30&gt;0))&gt;SUMPRODUCT(--(L$21:L$32&gt;0))-(L$16-FLOOR(L$16/SUMPRODUCT(--(L$21:L$32&gt;0)),1)*SUMPRODUCT(--(L$21:L$32&gt;0))),1,0))</f>
        <v>0</v>
      </c>
      <c r="M47" s="154" cm="1">
        <f t="array" ref="M47">IF(OR(M$16="",M$16=0,M30=0),0,FLOOR(M$16/SUMPRODUCT(--(M$21:M$32&gt;0)),1)+IF(SUMPRODUCT(--(M$21:M30&gt;0))&gt;SUMPRODUCT(--(M$21:M$32&gt;0))-(M$16-FLOOR(M$16/SUMPRODUCT(--(M$21:M$32&gt;0)),1)*SUMPRODUCT(--(M$21:M$32&gt;0))),1,0))</f>
        <v>0</v>
      </c>
      <c r="N47" s="154" cm="1">
        <f t="array" ref="N47">IF(OR(N$16="",N$16=0,N30=0),0,FLOOR(N$16/SUMPRODUCT(--(N$21:N$32&gt;0)),1)+IF(SUMPRODUCT(--(N$21:N30&gt;0))&gt;SUMPRODUCT(--(N$21:N$32&gt;0))-(N$16-FLOOR(N$16/SUMPRODUCT(--(N$21:N$32&gt;0)),1)*SUMPRODUCT(--(N$21:N$32&gt;0))),1,0))</f>
        <v>0</v>
      </c>
      <c r="O47" s="154" cm="1">
        <f t="array" ref="O47">IF(OR(O$16="",O$16=0,O30=0),0,FLOOR(O$16/SUMPRODUCT(--(O$21:O$32&gt;0)),1)+IF(SUMPRODUCT(--(O$21:O30&gt;0))&gt;SUMPRODUCT(--(O$21:O$32&gt;0))-(O$16-FLOOR(O$16/SUMPRODUCT(--(O$21:O$32&gt;0)),1)*SUMPRODUCT(--(O$21:O$32&gt;0))),1,0))</f>
        <v>0</v>
      </c>
      <c r="P47" s="154" cm="1">
        <f t="array" ref="P47">IF(OR(P$16="",P$16=0,P30=0),0,FLOOR(P$16/SUMPRODUCT(--(P$21:P$32&gt;0)),1)+IF(SUMPRODUCT(--(P$21:P30&gt;0))&gt;SUMPRODUCT(--(P$21:P$32&gt;0))-(P$16-FLOOR(P$16/SUMPRODUCT(--(P$21:P$32&gt;0)),1)*SUMPRODUCT(--(P$21:P$32&gt;0))),1,0))</f>
        <v>0</v>
      </c>
      <c r="Q47" s="154" cm="1">
        <f t="array" ref="Q47">IF(OR(Q$16="",Q$16=0,Q30=0),0,FLOOR(Q$16/SUMPRODUCT(--(Q$21:Q$32&gt;0)),1)+IF(SUMPRODUCT(--(Q$21:Q30&gt;0))&gt;SUMPRODUCT(--(Q$21:Q$32&gt;0))-(Q$16-FLOOR(Q$16/SUMPRODUCT(--(Q$21:Q$32&gt;0)),1)*SUMPRODUCT(--(Q$21:Q$32&gt;0))),1,0))</f>
        <v>0</v>
      </c>
      <c r="R47" s="154" cm="1">
        <f t="array" ref="R47">IF(OR(R$16="",R$16=0,R30=0),0,FLOOR(R$16/SUMPRODUCT(--(R$21:R$32&gt;0)),1)+IF(SUMPRODUCT(--(R$21:R30&gt;0))&gt;SUMPRODUCT(--(R$21:R$32&gt;0))-(R$16-FLOOR(R$16/SUMPRODUCT(--(R$21:R$32&gt;0)),1)*SUMPRODUCT(--(R$21:R$32&gt;0))),1,0))</f>
        <v>0</v>
      </c>
      <c r="S47" s="418">
        <v>20</v>
      </c>
      <c r="T47" s="182">
        <f t="shared" ca="1" si="18"/>
        <v>0.46189376443418012</v>
      </c>
      <c r="U47" s="183">
        <f t="shared" ca="1" si="19"/>
        <v>2.2170900692840645</v>
      </c>
      <c r="V47" s="184">
        <f t="shared" ca="1" si="22"/>
        <v>0.2917223775373769</v>
      </c>
      <c r="W47" s="185">
        <f t="shared" ca="1" si="20"/>
        <v>0.11085450346420322</v>
      </c>
      <c r="X47" s="419" t="str">
        <f t="shared" ca="1" si="21"/>
        <v>OK</v>
      </c>
      <c r="Y47" s="187"/>
    </row>
    <row r="48" spans="1:25">
      <c r="A48" s="843"/>
      <c r="B48" s="417" t="str">
        <f t="shared" si="17"/>
        <v>NOVEMBRE</v>
      </c>
      <c r="C48" s="154" cm="1">
        <f t="array" aca="1" ref="C48" ca="1">IF(OR(C$16="",C$16=0,C31=0),0,FLOOR(C$16/SUMPRODUCT(--(C$21:C$32&gt;0)),1)+IF(SUMPRODUCT(--(C$21:C31&gt;0))&gt;SUMPRODUCT(--(C$21:C$32&gt;0))-(C$16-FLOOR(C$16/SUMPRODUCT(--(C$21:C$32&gt;0)),1)*SUMPRODUCT(--(C$21:C$32&gt;0))),1,0))</f>
        <v>0</v>
      </c>
      <c r="D48" s="154" cm="1">
        <f t="array" aca="1" ref="D48" ca="1">IF(OR(D$16="",D$16=0,D31=0),0,FLOOR(D$16/SUMPRODUCT(--(D$21:D$32&gt;0)),1)+IF(SUMPRODUCT(--(D$21:D31&gt;0))&gt;SUMPRODUCT(--(D$21:D$32&gt;0))-(D$16-FLOOR(D$16/SUMPRODUCT(--(D$21:D$32&gt;0)),1)*SUMPRODUCT(--(D$21:D$32&gt;0))),1,0))</f>
        <v>0</v>
      </c>
      <c r="E48" s="154" cm="1">
        <f t="array" aca="1" ref="E48" ca="1">IF(OR(E$16="",E$16=0,E31=0),0,FLOOR(E$16/SUMPRODUCT(--(E$21:E$32&gt;0)),1)+IF(SUMPRODUCT(--(E$21:E31&gt;0))&gt;SUMPRODUCT(--(E$21:E$32&gt;0))-(E$16-FLOOR(E$16/SUMPRODUCT(--(E$21:E$32&gt;0)),1)*SUMPRODUCT(--(E$21:E$32&gt;0))),1,0))</f>
        <v>0</v>
      </c>
      <c r="F48" s="154" cm="1">
        <f t="array" aca="1" ref="F48" ca="1">IF(OR(F$16="",F$16=0,F31=0),0,FLOOR(F$16/SUMPRODUCT(--(F$21:F$32&gt;0)),1)+IF(SUMPRODUCT(--(F$21:F31&gt;0))&gt;SUMPRODUCT(--(F$21:F$32&gt;0))-(F$16-FLOOR(F$16/SUMPRODUCT(--(F$21:F$32&gt;0)),1)*SUMPRODUCT(--(F$21:F$32&gt;0))),1,0))</f>
        <v>1</v>
      </c>
      <c r="G48" s="154" cm="1">
        <f t="array" aca="1" ref="G48" ca="1">IF(OR(G$16="",G$16=0,G31=0),0,FLOOR(G$16/SUMPRODUCT(--(G$21:G$32&gt;0)),1)+IF(SUMPRODUCT(--(G$21:G31&gt;0))&gt;SUMPRODUCT(--(G$21:G$32&gt;0))-(G$16-FLOOR(G$16/SUMPRODUCT(--(G$21:G$32&gt;0)),1)*SUMPRODUCT(--(G$21:G$32&gt;0))),1,0))</f>
        <v>0</v>
      </c>
      <c r="H48" s="154" cm="1">
        <f t="array" aca="1" ref="H48" ca="1">IF(OR(H$16="",H$16=0,H31=0),0,FLOOR(H$16/SUMPRODUCT(--(H$21:H$32&gt;0)),1)+IF(SUMPRODUCT(--(H$21:H31&gt;0))&gt;SUMPRODUCT(--(H$21:H$32&gt;0))-(H$16-FLOOR(H$16/SUMPRODUCT(--(H$21:H$32&gt;0)),1)*SUMPRODUCT(--(H$21:H$32&gt;0))),1,0))</f>
        <v>0</v>
      </c>
      <c r="I48" s="154" cm="1">
        <f t="array" aca="1" ref="I48" ca="1">IF(OR(I$16="",I$16=0,I31=0),0,FLOOR(I$16/SUMPRODUCT(--(I$21:I$32&gt;0)),1)+IF(SUMPRODUCT(--(I$21:I31&gt;0))&gt;SUMPRODUCT(--(I$21:I$32&gt;0))-(I$16-FLOOR(I$16/SUMPRODUCT(--(I$21:I$32&gt;0)),1)*SUMPRODUCT(--(I$21:I$32&gt;0))),1,0))</f>
        <v>0</v>
      </c>
      <c r="J48" s="154" cm="1">
        <f t="array" aca="1" ref="J48" ca="1">IF(OR(J$16="",J$16=0,J31=0),0,FLOOR(J$16/SUMPRODUCT(--(J$21:J$32&gt;0)),1)+IF(SUMPRODUCT(--(J$21:J31&gt;0))&gt;SUMPRODUCT(--(J$21:J$32&gt;0))-(J$16-FLOOR(J$16/SUMPRODUCT(--(J$21:J$32&gt;0)),1)*SUMPRODUCT(--(J$21:J$32&gt;0))),1,0))</f>
        <v>0</v>
      </c>
      <c r="K48" s="154" cm="1">
        <f t="array" aca="1" ref="K48" ca="1">IF(OR(K$16="",K$16=0,K31=0),0,FLOOR(K$16/SUMPRODUCT(--(K$21:K$32&gt;0)),1)+IF(SUMPRODUCT(--(K$21:K31&gt;0))&gt;SUMPRODUCT(--(K$21:K$32&gt;0))-(K$16-FLOOR(K$16/SUMPRODUCT(--(K$21:K$32&gt;0)),1)*SUMPRODUCT(--(K$21:K$32&gt;0))),1,0))</f>
        <v>0</v>
      </c>
      <c r="L48" s="154" cm="1">
        <f t="array" aca="1" ref="L48" ca="1">IF(OR(L$16="",L$16=0,L31=0),0,FLOOR(L$16/SUMPRODUCT(--(L$21:L$32&gt;0)),1)+IF(SUMPRODUCT(--(L$21:L31&gt;0))&gt;SUMPRODUCT(--(L$21:L$32&gt;0))-(L$16-FLOOR(L$16/SUMPRODUCT(--(L$21:L$32&gt;0)),1)*SUMPRODUCT(--(L$21:L$32&gt;0))),1,0))</f>
        <v>0</v>
      </c>
      <c r="M48" s="154" cm="1">
        <f t="array" ref="M48">IF(OR(M$16="",M$16=0,M31=0),0,FLOOR(M$16/SUMPRODUCT(--(M$21:M$32&gt;0)),1)+IF(SUMPRODUCT(--(M$21:M31&gt;0))&gt;SUMPRODUCT(--(M$21:M$32&gt;0))-(M$16-FLOOR(M$16/SUMPRODUCT(--(M$21:M$32&gt;0)),1)*SUMPRODUCT(--(M$21:M$32&gt;0))),1,0))</f>
        <v>0</v>
      </c>
      <c r="N48" s="154" cm="1">
        <f t="array" ref="N48">IF(OR(N$16="",N$16=0,N31=0),0,FLOOR(N$16/SUMPRODUCT(--(N$21:N$32&gt;0)),1)+IF(SUMPRODUCT(--(N$21:N31&gt;0))&gt;SUMPRODUCT(--(N$21:N$32&gt;0))-(N$16-FLOOR(N$16/SUMPRODUCT(--(N$21:N$32&gt;0)),1)*SUMPRODUCT(--(N$21:N$32&gt;0))),1,0))</f>
        <v>0</v>
      </c>
      <c r="O48" s="154" cm="1">
        <f t="array" ref="O48">IF(OR(O$16="",O$16=0,O31=0),0,FLOOR(O$16/SUMPRODUCT(--(O$21:O$32&gt;0)),1)+IF(SUMPRODUCT(--(O$21:O31&gt;0))&gt;SUMPRODUCT(--(O$21:O$32&gt;0))-(O$16-FLOOR(O$16/SUMPRODUCT(--(O$21:O$32&gt;0)),1)*SUMPRODUCT(--(O$21:O$32&gt;0))),1,0))</f>
        <v>0</v>
      </c>
      <c r="P48" s="154" cm="1">
        <f t="array" ref="P48">IF(OR(P$16="",P$16=0,P31=0),0,FLOOR(P$16/SUMPRODUCT(--(P$21:P$32&gt;0)),1)+IF(SUMPRODUCT(--(P$21:P31&gt;0))&gt;SUMPRODUCT(--(P$21:P$32&gt;0))-(P$16-FLOOR(P$16/SUMPRODUCT(--(P$21:P$32&gt;0)),1)*SUMPRODUCT(--(P$21:P$32&gt;0))),1,0))</f>
        <v>0</v>
      </c>
      <c r="Q48" s="154" cm="1">
        <f t="array" ref="Q48">IF(OR(Q$16="",Q$16=0,Q31=0),0,FLOOR(Q$16/SUMPRODUCT(--(Q$21:Q$32&gt;0)),1)+IF(SUMPRODUCT(--(Q$21:Q31&gt;0))&gt;SUMPRODUCT(--(Q$21:Q$32&gt;0))-(Q$16-FLOOR(Q$16/SUMPRODUCT(--(Q$21:Q$32&gt;0)),1)*SUMPRODUCT(--(Q$21:Q$32&gt;0))),1,0))</f>
        <v>0</v>
      </c>
      <c r="R48" s="154" cm="1">
        <f t="array" ref="R48">IF(OR(R$16="",R$16=0,R31=0),0,FLOOR(R$16/SUMPRODUCT(--(R$21:R$32&gt;0)),1)+IF(SUMPRODUCT(--(R$21:R31&gt;0))&gt;SUMPRODUCT(--(R$21:R$32&gt;0))-(R$16-FLOOR(R$16/SUMPRODUCT(--(R$21:R$32&gt;0)),1)*SUMPRODUCT(--(R$21:R$32&gt;0))),1,0))</f>
        <v>0</v>
      </c>
      <c r="S48" s="418">
        <v>20</v>
      </c>
      <c r="T48" s="182">
        <f t="shared" ca="1" si="18"/>
        <v>0.23094688221709006</v>
      </c>
      <c r="U48" s="183">
        <f t="shared" ca="1" si="19"/>
        <v>1.1085450346420322</v>
      </c>
      <c r="V48" s="184">
        <f t="shared" ca="1" si="22"/>
        <v>0.14586118876868845</v>
      </c>
      <c r="W48" s="185">
        <f t="shared" ca="1" si="20"/>
        <v>5.5427251732101612E-2</v>
      </c>
      <c r="X48" s="419" t="str">
        <f t="shared" ca="1" si="21"/>
        <v>OK</v>
      </c>
      <c r="Y48" s="186"/>
    </row>
    <row r="49" spans="1:25">
      <c r="A49" s="843"/>
      <c r="B49" s="417" t="str">
        <f t="shared" si="17"/>
        <v>DÉCEMBRE</v>
      </c>
      <c r="C49" s="154" cm="1">
        <f t="array" aca="1" ref="C49" ca="1">IF(OR(C$16="",C$16=0,C32=0),0,FLOOR(C$16/SUMPRODUCT(--(C$21:C$32&gt;0)),1)+IF(SUMPRODUCT(--(C$21:C32&gt;0))&gt;SUMPRODUCT(--(C$21:C$32&gt;0))-(C$16-FLOOR(C$16/SUMPRODUCT(--(C$21:C$32&gt;0)),1)*SUMPRODUCT(--(C$21:C$32&gt;0))),1,0))</f>
        <v>0</v>
      </c>
      <c r="D49" s="154" cm="1">
        <f t="array" aca="1" ref="D49" ca="1">IF(OR(D$16="",D$16=0,D32=0),0,FLOOR(D$16/SUMPRODUCT(--(D$21:D$32&gt;0)),1)+IF(SUMPRODUCT(--(D$21:D32&gt;0))&gt;SUMPRODUCT(--(D$21:D$32&gt;0))-(D$16-FLOOR(D$16/SUMPRODUCT(--(D$21:D$32&gt;0)),1)*SUMPRODUCT(--(D$21:D$32&gt;0))),1,0))</f>
        <v>1</v>
      </c>
      <c r="E49" s="154" cm="1">
        <f t="array" aca="1" ref="E49" ca="1">IF(OR(E$16="",E$16=0,E32=0),0,FLOOR(E$16/SUMPRODUCT(--(E$21:E$32&gt;0)),1)+IF(SUMPRODUCT(--(E$21:E32&gt;0))&gt;SUMPRODUCT(--(E$21:E$32&gt;0))-(E$16-FLOOR(E$16/SUMPRODUCT(--(E$21:E$32&gt;0)),1)*SUMPRODUCT(--(E$21:E$32&gt;0))),1,0))</f>
        <v>0</v>
      </c>
      <c r="F49" s="154" cm="1">
        <f t="array" aca="1" ref="F49" ca="1">IF(OR(F$16="",F$16=0,F32=0),0,FLOOR(F$16/SUMPRODUCT(--(F$21:F$32&gt;0)),1)+IF(SUMPRODUCT(--(F$21:F32&gt;0))&gt;SUMPRODUCT(--(F$21:F$32&gt;0))-(F$16-FLOOR(F$16/SUMPRODUCT(--(F$21:F$32&gt;0)),1)*SUMPRODUCT(--(F$21:F$32&gt;0))),1,0))</f>
        <v>1</v>
      </c>
      <c r="G49" s="154" cm="1">
        <f t="array" aca="1" ref="G49" ca="1">IF(OR(G$16="",G$16=0,G32=0),0,FLOOR(G$16/SUMPRODUCT(--(G$21:G$32&gt;0)),1)+IF(SUMPRODUCT(--(G$21:G32&gt;0))&gt;SUMPRODUCT(--(G$21:G$32&gt;0))-(G$16-FLOOR(G$16/SUMPRODUCT(--(G$21:G$32&gt;0)),1)*SUMPRODUCT(--(G$21:G$32&gt;0))),1,0))</f>
        <v>0</v>
      </c>
      <c r="H49" s="154" cm="1">
        <f t="array" aca="1" ref="H49" ca="1">IF(OR(H$16="",H$16=0,H32=0),0,FLOOR(H$16/SUMPRODUCT(--(H$21:H$32&gt;0)),1)+IF(SUMPRODUCT(--(H$21:H32&gt;0))&gt;SUMPRODUCT(--(H$21:H$32&gt;0))-(H$16-FLOOR(H$16/SUMPRODUCT(--(H$21:H$32&gt;0)),1)*SUMPRODUCT(--(H$21:H$32&gt;0))),1,0))</f>
        <v>0</v>
      </c>
      <c r="I49" s="154" cm="1">
        <f t="array" aca="1" ref="I49" ca="1">IF(OR(I$16="",I$16=0,I32=0),0,FLOOR(I$16/SUMPRODUCT(--(I$21:I$32&gt;0)),1)+IF(SUMPRODUCT(--(I$21:I32&gt;0))&gt;SUMPRODUCT(--(I$21:I$32&gt;0))-(I$16-FLOOR(I$16/SUMPRODUCT(--(I$21:I$32&gt;0)),1)*SUMPRODUCT(--(I$21:I$32&gt;0))),1,0))</f>
        <v>0</v>
      </c>
      <c r="J49" s="154" cm="1">
        <f t="array" aca="1" ref="J49" ca="1">IF(OR(J$16="",J$16=0,J32=0),0,FLOOR(J$16/SUMPRODUCT(--(J$21:J$32&gt;0)),1)+IF(SUMPRODUCT(--(J$21:J32&gt;0))&gt;SUMPRODUCT(--(J$21:J$32&gt;0))-(J$16-FLOOR(J$16/SUMPRODUCT(--(J$21:J$32&gt;0)),1)*SUMPRODUCT(--(J$21:J$32&gt;0))),1,0))</f>
        <v>0</v>
      </c>
      <c r="K49" s="154" cm="1">
        <f t="array" aca="1" ref="K49" ca="1">IF(OR(K$16="",K$16=0,K32=0),0,FLOOR(K$16/SUMPRODUCT(--(K$21:K$32&gt;0)),1)+IF(SUMPRODUCT(--(K$21:K32&gt;0))&gt;SUMPRODUCT(--(K$21:K$32&gt;0))-(K$16-FLOOR(K$16/SUMPRODUCT(--(K$21:K$32&gt;0)),1)*SUMPRODUCT(--(K$21:K$32&gt;0))),1,0))</f>
        <v>0</v>
      </c>
      <c r="L49" s="154" cm="1">
        <f t="array" aca="1" ref="L49" ca="1">IF(OR(L$16="",L$16=0,L32=0),0,FLOOR(L$16/SUMPRODUCT(--(L$21:L$32&gt;0)),1)+IF(SUMPRODUCT(--(L$21:L32&gt;0))&gt;SUMPRODUCT(--(L$21:L$32&gt;0))-(L$16-FLOOR(L$16/SUMPRODUCT(--(L$21:L$32&gt;0)),1)*SUMPRODUCT(--(L$21:L$32&gt;0))),1,0))</f>
        <v>0</v>
      </c>
      <c r="M49" s="154" cm="1">
        <f t="array" ref="M49">IF(OR(M$16="",M$16=0,M32=0),0,FLOOR(M$16/SUMPRODUCT(--(M$21:M$32&gt;0)),1)+IF(SUMPRODUCT(--(M$21:M32&gt;0))&gt;SUMPRODUCT(--(M$21:M$32&gt;0))-(M$16-FLOOR(M$16/SUMPRODUCT(--(M$21:M$32&gt;0)),1)*SUMPRODUCT(--(M$21:M$32&gt;0))),1,0))</f>
        <v>0</v>
      </c>
      <c r="N49" s="154" cm="1">
        <f t="array" ref="N49">IF(OR(N$16="",N$16=0,N32=0),0,FLOOR(N$16/SUMPRODUCT(--(N$21:N$32&gt;0)),1)+IF(SUMPRODUCT(--(N$21:N32&gt;0))&gt;SUMPRODUCT(--(N$21:N$32&gt;0))-(N$16-FLOOR(N$16/SUMPRODUCT(--(N$21:N$32&gt;0)),1)*SUMPRODUCT(--(N$21:N$32&gt;0))),1,0))</f>
        <v>0</v>
      </c>
      <c r="O49" s="154" cm="1">
        <f t="array" ref="O49">IF(OR(O$16="",O$16=0,O32=0),0,FLOOR(O$16/SUMPRODUCT(--(O$21:O$32&gt;0)),1)+IF(SUMPRODUCT(--(O$21:O32&gt;0))&gt;SUMPRODUCT(--(O$21:O$32&gt;0))-(O$16-FLOOR(O$16/SUMPRODUCT(--(O$21:O$32&gt;0)),1)*SUMPRODUCT(--(O$21:O$32&gt;0))),1,0))</f>
        <v>0</v>
      </c>
      <c r="P49" s="154" cm="1">
        <f t="array" ref="P49">IF(OR(P$16="",P$16=0,P32=0),0,FLOOR(P$16/SUMPRODUCT(--(P$21:P$32&gt;0)),1)+IF(SUMPRODUCT(--(P$21:P32&gt;0))&gt;SUMPRODUCT(--(P$21:P$32&gt;0))-(P$16-FLOOR(P$16/SUMPRODUCT(--(P$21:P$32&gt;0)),1)*SUMPRODUCT(--(P$21:P$32&gt;0))),1,0))</f>
        <v>0</v>
      </c>
      <c r="Q49" s="154" cm="1">
        <f t="array" ref="Q49">IF(OR(Q$16="",Q$16=0,Q32=0),0,FLOOR(Q$16/SUMPRODUCT(--(Q$21:Q$32&gt;0)),1)+IF(SUMPRODUCT(--(Q$21:Q32&gt;0))&gt;SUMPRODUCT(--(Q$21:Q$32&gt;0))-(Q$16-FLOOR(Q$16/SUMPRODUCT(--(Q$21:Q$32&gt;0)),1)*SUMPRODUCT(--(Q$21:Q$32&gt;0))),1,0))</f>
        <v>0</v>
      </c>
      <c r="R49" s="154" cm="1">
        <f t="array" ref="R49">IF(OR(R$16="",R$16=0,R32=0),0,FLOOR(R$16/SUMPRODUCT(--(R$21:R$32&gt;0)),1)+IF(SUMPRODUCT(--(R$21:R32&gt;0))&gt;SUMPRODUCT(--(R$21:R$32&gt;0))-(R$16-FLOOR(R$16/SUMPRODUCT(--(R$21:R$32&gt;0)),1)*SUMPRODUCT(--(R$21:R$32&gt;0))),1,0))</f>
        <v>0</v>
      </c>
      <c r="S49" s="420">
        <v>20</v>
      </c>
      <c r="T49" s="182">
        <f t="shared" ca="1" si="18"/>
        <v>0.46189376443418012</v>
      </c>
      <c r="U49" s="183">
        <f t="shared" ca="1" si="19"/>
        <v>2.2170900692840645</v>
      </c>
      <c r="V49" s="184">
        <f t="shared" ca="1" si="22"/>
        <v>0.2917223775373769</v>
      </c>
      <c r="W49" s="185">
        <f t="shared" ca="1" si="20"/>
        <v>0.11085450346420322</v>
      </c>
      <c r="X49" s="419" t="str">
        <f t="shared" ca="1" si="21"/>
        <v>OK</v>
      </c>
      <c r="Y49" s="187"/>
    </row>
    <row r="50" spans="1:25">
      <c r="A50" s="297"/>
      <c r="B50" s="297"/>
      <c r="C50" s="297"/>
      <c r="D50" s="297"/>
      <c r="E50" s="297"/>
      <c r="F50" s="297"/>
      <c r="G50" s="297"/>
      <c r="H50" s="297"/>
      <c r="I50" s="297"/>
      <c r="J50" s="297"/>
      <c r="K50" s="297"/>
      <c r="L50" s="297"/>
      <c r="M50" s="297"/>
      <c r="N50" s="297"/>
      <c r="O50" s="297"/>
      <c r="P50" s="297"/>
      <c r="Q50" s="297"/>
      <c r="R50" s="297"/>
      <c r="S50" s="179"/>
      <c r="T50" s="295"/>
      <c r="U50" s="297"/>
      <c r="V50" s="184"/>
      <c r="W50" s="297"/>
      <c r="X50" s="297"/>
    </row>
    <row r="51" spans="1:25">
      <c r="A51" s="297"/>
      <c r="B51" s="297"/>
      <c r="C51" s="297"/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7"/>
      <c r="O51" s="297"/>
      <c r="P51" s="297"/>
      <c r="Q51" s="297"/>
      <c r="R51" s="297"/>
      <c r="S51" s="180"/>
      <c r="T51" s="23">
        <f ca="1">SUM(T38:T49)</f>
        <v>2.0785219399538106</v>
      </c>
      <c r="U51" s="23">
        <f ca="1">SUM(U38:U49)</f>
        <v>9.9769053117782889</v>
      </c>
      <c r="V51" s="23">
        <f ca="1">SUM(V38:V49)/5</f>
        <v>0.26255013978363922</v>
      </c>
      <c r="W51" s="297"/>
      <c r="X51" s="297"/>
      <c r="Y51" s="188"/>
    </row>
    <row r="52" spans="1:25">
      <c r="A52" s="297"/>
      <c r="B52" s="297"/>
      <c r="C52" s="297"/>
      <c r="D52" s="297"/>
      <c r="E52" s="297"/>
      <c r="F52" s="297"/>
      <c r="G52" s="297"/>
      <c r="H52" s="297"/>
      <c r="I52" s="297"/>
      <c r="J52" s="297"/>
      <c r="K52" s="297"/>
      <c r="L52" s="297"/>
      <c r="M52" s="297"/>
      <c r="N52" s="297"/>
      <c r="O52" s="297"/>
      <c r="P52" s="297"/>
      <c r="Q52" s="297"/>
      <c r="R52" s="297"/>
      <c r="S52" s="297"/>
      <c r="T52" s="297"/>
      <c r="U52" s="297"/>
      <c r="V52" s="297"/>
      <c r="W52" s="297"/>
      <c r="X52" s="297"/>
      <c r="Y52" s="188"/>
    </row>
    <row r="53" spans="1:25">
      <c r="A53" s="297"/>
      <c r="B53" s="297"/>
      <c r="C53" s="297"/>
      <c r="D53" s="297"/>
      <c r="E53" s="297"/>
      <c r="F53" s="297"/>
      <c r="G53" s="297"/>
      <c r="H53" s="297"/>
      <c r="I53" s="297"/>
      <c r="J53" s="297"/>
      <c r="K53" s="297"/>
      <c r="L53" s="297"/>
      <c r="M53" s="297"/>
      <c r="N53" s="297"/>
      <c r="O53" s="297"/>
      <c r="P53" s="297"/>
      <c r="Q53" s="297"/>
      <c r="R53" s="297"/>
      <c r="S53" s="297"/>
      <c r="T53" s="297"/>
      <c r="U53" s="295" t="s">
        <v>572</v>
      </c>
      <c r="V53" s="297"/>
      <c r="W53" s="297"/>
      <c r="X53" s="297"/>
    </row>
    <row r="54" spans="1:25">
      <c r="A54" s="297"/>
      <c r="B54" s="297"/>
      <c r="C54" s="297"/>
      <c r="D54" s="297"/>
      <c r="E54" s="297"/>
      <c r="F54" s="297"/>
      <c r="G54" s="297"/>
      <c r="H54" s="297"/>
      <c r="I54" s="297"/>
      <c r="J54" s="297"/>
      <c r="K54" s="297"/>
      <c r="L54" s="297"/>
      <c r="M54" s="297"/>
      <c r="N54" s="297"/>
      <c r="O54" s="297"/>
      <c r="P54" s="297"/>
      <c r="Q54" s="297"/>
      <c r="R54" s="297"/>
      <c r="S54" s="297"/>
      <c r="T54" s="297"/>
      <c r="U54" s="185" t="str">
        <f ca="1">IF(U51*4.33=T16,"OK CORRECT","PROBLEME")</f>
        <v>OK CORRECT</v>
      </c>
      <c r="V54" s="297"/>
      <c r="W54" s="297"/>
      <c r="X54" s="297"/>
    </row>
    <row r="55" spans="1:25" ht="31.95" customHeight="1"/>
    <row r="56" spans="1:25" ht="31.95" customHeight="1"/>
    <row r="57" spans="1:25" ht="31.95" customHeight="1"/>
    <row r="58" spans="1:25" ht="31.95" customHeight="1"/>
    <row r="59" spans="1:25" ht="31.95" customHeight="1"/>
    <row r="60" spans="1:25" ht="31.95" customHeight="1"/>
    <row r="61" spans="1:25" ht="31.95" customHeight="1"/>
    <row r="65" customFormat="1" ht="31.95" customHeight="1"/>
    <row r="66" customFormat="1" ht="31.95" customHeight="1"/>
    <row r="67" customFormat="1" ht="31.95" customHeight="1"/>
    <row r="68" customFormat="1" ht="31.95" customHeight="1"/>
    <row r="69" customFormat="1" ht="31.95" customHeight="1"/>
    <row r="72" customFormat="1" ht="28.05" customHeight="1"/>
    <row r="73" customFormat="1" ht="28.05" customHeight="1"/>
    <row r="74" customFormat="1" ht="28.05" customHeight="1"/>
    <row r="75" customFormat="1" ht="28.05" customHeight="1"/>
    <row r="76" customFormat="1" ht="28.05" customHeight="1"/>
  </sheetData>
  <sheetProtection algorithmName="SHA-512" hashValue="5vKMc7X+qlCfh9Eh8g5uqjAH81i8fuS4lM3OuKO6FDaV5zlBXc9Mpe9jewEQ9Ng8teWQ3u3Eju+nIHNGD3AtiQ==" saltValue="nbp1jHSWYeWlHnkRNDdBIA==" spinCount="100000" sheet="1" objects="1" scenarios="1" sort="0" autoFilter="0"/>
  <mergeCells count="7">
    <mergeCell ref="B1:R2"/>
    <mergeCell ref="B37:R37"/>
    <mergeCell ref="A38:A49"/>
    <mergeCell ref="A21:A32"/>
    <mergeCell ref="C11:L11"/>
    <mergeCell ref="M11:R11"/>
    <mergeCell ref="B20:R20"/>
  </mergeCells>
  <phoneticPr fontId="26" type="noConversion"/>
  <conditionalFormatting sqref="C21:R32">
    <cfRule type="colorScale" priority="18">
      <colorScale>
        <cfvo type="num" val="0"/>
        <cfvo type="num" val="0.5"/>
        <cfvo type="num" val="1"/>
        <color rgb="FF9DB4D9"/>
        <color rgb="FF5B7FB8"/>
        <color rgb="FF1F3864"/>
      </colorScale>
    </cfRule>
    <cfRule type="cellIs" dxfId="15" priority="19" operator="equal">
      <formula>1</formula>
    </cfRule>
  </conditionalFormatting>
  <conditionalFormatting sqref="C38:R49">
    <cfRule type="cellIs" dxfId="14" priority="22" operator="notEqual">
      <formula>0</formula>
    </cfRule>
  </conditionalFormatting>
  <conditionalFormatting sqref="U54">
    <cfRule type="cellIs" dxfId="13" priority="20" operator="equal">
      <formula>"OK CORRECT"</formula>
    </cfRule>
    <cfRule type="cellIs" dxfId="12" priority="21" operator="equal">
      <formula>"PROBLEME"</formula>
    </cfRule>
  </conditionalFormatting>
  <conditionalFormatting sqref="W38:W49">
    <cfRule type="cellIs" dxfId="11" priority="12" operator="greaterThan">
      <formula>1</formula>
    </cfRule>
    <cfRule type="cellIs" dxfId="10" priority="13" operator="greaterThan">
      <formula>0.8</formula>
    </cfRule>
    <cfRule type="cellIs" dxfId="9" priority="14" operator="greaterThan">
      <formula>0</formula>
    </cfRule>
  </conditionalFormatting>
  <conditionalFormatting sqref="X38:X49">
    <cfRule type="containsText" dxfId="8" priority="15" operator="containsText" text="GOULOT">
      <formula>NOT(ISERROR(SEARCH("GOULOT",X38)))</formula>
    </cfRule>
    <cfRule type="containsText" dxfId="7" priority="16" operator="containsText" text="Tendu">
      <formula>NOT(ISERROR(SEARCH("Tendu",X38)))</formula>
    </cfRule>
    <cfRule type="containsText" dxfId="6" priority="17" operator="containsText" text="OK">
      <formula>NOT(ISERROR(SEARCH("OK",X38)))</formula>
    </cfRule>
  </conditionalFormatting>
  <pageMargins left="0.7" right="0.7" top="0.75" bottom="0.75" header="0.3" footer="0.3"/>
  <pageSetup paperSize="9" orientation="portrait" horizontalDpi="4294967293" verticalDpi="4294967293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Valeur invalide" error="Veuillez choisir une variable dans la liste." xr:uid="{00EEF0F7-BA0A-4B5C-9F5C-BA16A2FF04A1}">
          <x14:formula1>
            <xm:f>Listes!$F$2:$F$46</xm:f>
          </x14:formula1>
          <xm:sqref>A4:A8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290EE-4B91-4E8A-8AE2-0DF3C59CC2C5}">
  <dimension ref="B1:Q25"/>
  <sheetViews>
    <sheetView zoomScale="85" zoomScaleNormal="85" workbookViewId="0">
      <selection activeCell="F20" sqref="F20"/>
    </sheetView>
  </sheetViews>
  <sheetFormatPr baseColWidth="10" defaultRowHeight="15.05"/>
  <cols>
    <col min="2" max="2" width="30.88671875" customWidth="1"/>
    <col min="3" max="3" width="31.109375" customWidth="1"/>
    <col min="4" max="5" width="6.109375" customWidth="1"/>
    <col min="6" max="17" width="8.77734375" customWidth="1"/>
    <col min="18" max="18" width="15.5546875" customWidth="1"/>
    <col min="19" max="19" width="13.77734375" customWidth="1"/>
    <col min="20" max="20" width="13.5546875" customWidth="1"/>
    <col min="21" max="21" width="13.77734375" customWidth="1"/>
    <col min="22" max="22" width="14.21875" customWidth="1"/>
  </cols>
  <sheetData>
    <row r="1" spans="2:17">
      <c r="B1" s="847" t="s">
        <v>270</v>
      </c>
      <c r="C1" s="848"/>
      <c r="D1" s="848"/>
      <c r="E1" s="848"/>
      <c r="F1" s="848"/>
      <c r="G1" s="848"/>
      <c r="H1" s="848"/>
      <c r="I1" s="848"/>
      <c r="J1" s="848"/>
      <c r="K1" s="848"/>
      <c r="L1" s="848"/>
      <c r="M1" s="848"/>
      <c r="N1" s="848"/>
      <c r="O1" s="848"/>
      <c r="P1" s="848"/>
      <c r="Q1" s="848"/>
    </row>
    <row r="2" spans="2:17">
      <c r="B2" s="297" t="s">
        <v>256</v>
      </c>
      <c r="C2" s="297" t="s">
        <v>542</v>
      </c>
      <c r="D2" s="297" t="s">
        <v>272</v>
      </c>
      <c r="E2" s="297" t="s">
        <v>553</v>
      </c>
      <c r="F2" s="297" t="s">
        <v>257</v>
      </c>
      <c r="G2" s="297" t="s">
        <v>258</v>
      </c>
      <c r="H2" s="297" t="s">
        <v>259</v>
      </c>
      <c r="I2" s="297" t="s">
        <v>260</v>
      </c>
      <c r="J2" s="297" t="s">
        <v>261</v>
      </c>
      <c r="K2" s="297" t="s">
        <v>262</v>
      </c>
      <c r="L2" s="297" t="s">
        <v>263</v>
      </c>
      <c r="M2" s="297" t="s">
        <v>264</v>
      </c>
      <c r="N2" s="297" t="s">
        <v>265</v>
      </c>
      <c r="O2" s="297" t="s">
        <v>266</v>
      </c>
      <c r="P2" s="297" t="s">
        <v>267</v>
      </c>
      <c r="Q2" s="297" t="s">
        <v>268</v>
      </c>
    </row>
    <row r="3" spans="2:17" ht="67.8" customHeight="1">
      <c r="B3" s="297"/>
      <c r="C3" s="421" t="s">
        <v>544</v>
      </c>
      <c r="D3" s="851" t="s">
        <v>555</v>
      </c>
      <c r="E3" s="851"/>
      <c r="F3" s="850" t="s">
        <v>554</v>
      </c>
      <c r="G3" s="850"/>
      <c r="H3" s="850"/>
      <c r="I3" s="850"/>
      <c r="J3" s="850"/>
      <c r="K3" s="850"/>
      <c r="L3" s="850"/>
      <c r="M3" s="850"/>
      <c r="N3" s="850"/>
      <c r="O3" s="850"/>
      <c r="P3" s="850"/>
      <c r="Q3" s="850"/>
    </row>
    <row r="4" spans="2:17">
      <c r="B4" s="422" t="s">
        <v>352</v>
      </c>
      <c r="C4" s="423">
        <v>0</v>
      </c>
      <c r="D4" s="189">
        <f>SUM(F4:Q4)/(12*5)</f>
        <v>1</v>
      </c>
      <c r="E4" s="189">
        <f>SUM(F4:Q4)/12</f>
        <v>5</v>
      </c>
      <c r="F4" s="424">
        <v>5</v>
      </c>
      <c r="G4" s="424">
        <v>5</v>
      </c>
      <c r="H4" s="424">
        <v>5</v>
      </c>
      <c r="I4" s="424">
        <v>5</v>
      </c>
      <c r="J4" s="424">
        <v>5</v>
      </c>
      <c r="K4" s="424">
        <v>5</v>
      </c>
      <c r="L4" s="424">
        <v>5</v>
      </c>
      <c r="M4" s="424">
        <v>5</v>
      </c>
      <c r="N4" s="424">
        <v>5</v>
      </c>
      <c r="O4" s="424">
        <v>5</v>
      </c>
      <c r="P4" s="424">
        <v>5</v>
      </c>
      <c r="Q4" s="424">
        <v>5</v>
      </c>
    </row>
    <row r="5" spans="2:17">
      <c r="B5" s="422" t="s">
        <v>353</v>
      </c>
      <c r="C5" s="423">
        <v>0</v>
      </c>
      <c r="D5" s="154">
        <f t="shared" ref="D5:D9" si="0">SUM(F5:Q5)/(12*5)</f>
        <v>0.05</v>
      </c>
      <c r="E5" s="154">
        <f t="shared" ref="E5:E9" si="1">SUM(F5:Q5)/12</f>
        <v>0.25</v>
      </c>
      <c r="F5" s="425">
        <v>0</v>
      </c>
      <c r="G5" s="425">
        <v>0</v>
      </c>
      <c r="H5" s="425">
        <v>0</v>
      </c>
      <c r="I5" s="425">
        <v>0</v>
      </c>
      <c r="J5" s="425">
        <v>0.5</v>
      </c>
      <c r="K5" s="425">
        <v>0</v>
      </c>
      <c r="L5" s="425">
        <v>1</v>
      </c>
      <c r="M5" s="425">
        <v>1</v>
      </c>
      <c r="N5" s="425">
        <v>0</v>
      </c>
      <c r="O5" s="425">
        <v>0.5</v>
      </c>
      <c r="P5" s="425">
        <v>0</v>
      </c>
      <c r="Q5" s="425">
        <v>0</v>
      </c>
    </row>
    <row r="6" spans="2:17">
      <c r="B6" s="422" t="s">
        <v>269</v>
      </c>
      <c r="C6" s="423">
        <v>38000</v>
      </c>
      <c r="D6" s="154">
        <f t="shared" si="0"/>
        <v>0.6</v>
      </c>
      <c r="E6" s="154">
        <f t="shared" si="1"/>
        <v>3</v>
      </c>
      <c r="F6" s="425">
        <v>3</v>
      </c>
      <c r="G6" s="425">
        <v>3</v>
      </c>
      <c r="H6" s="425">
        <v>3</v>
      </c>
      <c r="I6" s="425">
        <v>3</v>
      </c>
      <c r="J6" s="425">
        <v>3</v>
      </c>
      <c r="K6" s="425">
        <v>3</v>
      </c>
      <c r="L6" s="425">
        <v>3</v>
      </c>
      <c r="M6" s="425">
        <v>3</v>
      </c>
      <c r="N6" s="425">
        <v>3</v>
      </c>
      <c r="O6" s="425">
        <v>3</v>
      </c>
      <c r="P6" s="425">
        <v>3</v>
      </c>
      <c r="Q6" s="425">
        <v>3</v>
      </c>
    </row>
    <row r="7" spans="2:17">
      <c r="B7" s="422" t="s">
        <v>363</v>
      </c>
      <c r="C7" s="423">
        <v>0</v>
      </c>
      <c r="D7" s="154">
        <f t="shared" si="0"/>
        <v>0</v>
      </c>
      <c r="E7" s="154">
        <f t="shared" si="1"/>
        <v>0</v>
      </c>
      <c r="F7" s="425">
        <v>0</v>
      </c>
      <c r="G7" s="425">
        <v>0</v>
      </c>
      <c r="H7" s="425">
        <v>0</v>
      </c>
      <c r="I7" s="425">
        <v>0</v>
      </c>
      <c r="J7" s="425">
        <v>0</v>
      </c>
      <c r="K7" s="425">
        <v>0</v>
      </c>
      <c r="L7" s="425">
        <v>0</v>
      </c>
      <c r="M7" s="425">
        <v>0</v>
      </c>
      <c r="N7" s="425">
        <v>0</v>
      </c>
      <c r="O7" s="425">
        <v>0</v>
      </c>
      <c r="P7" s="425">
        <v>0</v>
      </c>
      <c r="Q7" s="425">
        <v>0</v>
      </c>
    </row>
    <row r="8" spans="2:17">
      <c r="B8" s="422" t="s">
        <v>529</v>
      </c>
      <c r="C8" s="423">
        <v>0</v>
      </c>
      <c r="D8" s="154">
        <f t="shared" si="0"/>
        <v>0</v>
      </c>
      <c r="E8" s="154">
        <f t="shared" si="1"/>
        <v>0</v>
      </c>
      <c r="F8" s="425">
        <v>0</v>
      </c>
      <c r="G8" s="425">
        <v>0</v>
      </c>
      <c r="H8" s="425">
        <v>0</v>
      </c>
      <c r="I8" s="425">
        <v>0</v>
      </c>
      <c r="J8" s="425">
        <v>0</v>
      </c>
      <c r="K8" s="425">
        <v>0</v>
      </c>
      <c r="L8" s="425">
        <v>0</v>
      </c>
      <c r="M8" s="425">
        <v>0</v>
      </c>
      <c r="N8" s="425">
        <v>0</v>
      </c>
      <c r="O8" s="425">
        <v>0</v>
      </c>
      <c r="P8" s="425">
        <v>0</v>
      </c>
      <c r="Q8" s="425">
        <v>0</v>
      </c>
    </row>
    <row r="9" spans="2:17">
      <c r="B9" s="422" t="s">
        <v>530</v>
      </c>
      <c r="C9" s="423">
        <v>0</v>
      </c>
      <c r="D9" s="154">
        <f t="shared" si="0"/>
        <v>0</v>
      </c>
      <c r="E9" s="154">
        <f t="shared" si="1"/>
        <v>0</v>
      </c>
      <c r="F9" s="425">
        <v>0</v>
      </c>
      <c r="G9" s="425">
        <v>0</v>
      </c>
      <c r="H9" s="425">
        <v>0</v>
      </c>
      <c r="I9" s="425">
        <v>0</v>
      </c>
      <c r="J9" s="425">
        <v>0</v>
      </c>
      <c r="K9" s="425">
        <v>0</v>
      </c>
      <c r="L9" s="425">
        <v>0</v>
      </c>
      <c r="M9" s="425">
        <v>0</v>
      </c>
      <c r="N9" s="425">
        <v>0</v>
      </c>
      <c r="O9" s="425">
        <v>0</v>
      </c>
      <c r="P9" s="425">
        <v>0</v>
      </c>
      <c r="Q9" s="425">
        <v>0</v>
      </c>
    </row>
    <row r="10" spans="2:17">
      <c r="B10" s="58" t="s">
        <v>273</v>
      </c>
      <c r="C10" s="190">
        <f>SUM(C4:C9)</f>
        <v>38000</v>
      </c>
      <c r="D10" s="191">
        <f>SUM(D4:D9)</f>
        <v>1.65</v>
      </c>
      <c r="E10" s="23"/>
      <c r="F10" s="58">
        <f>F11/5</f>
        <v>1.6</v>
      </c>
      <c r="G10" s="58">
        <f t="shared" ref="G10:Q10" si="2">G11/5</f>
        <v>1.6</v>
      </c>
      <c r="H10" s="58">
        <f t="shared" si="2"/>
        <v>1.6</v>
      </c>
      <c r="I10" s="58">
        <f t="shared" si="2"/>
        <v>1.6</v>
      </c>
      <c r="J10" s="58">
        <f t="shared" si="2"/>
        <v>1.7</v>
      </c>
      <c r="K10" s="58">
        <f t="shared" si="2"/>
        <v>1.6</v>
      </c>
      <c r="L10" s="58">
        <f t="shared" si="2"/>
        <v>1.8</v>
      </c>
      <c r="M10" s="58">
        <f t="shared" si="2"/>
        <v>1.8</v>
      </c>
      <c r="N10" s="58">
        <f t="shared" si="2"/>
        <v>1.6</v>
      </c>
      <c r="O10" s="58">
        <f t="shared" si="2"/>
        <v>1.7</v>
      </c>
      <c r="P10" s="58">
        <f t="shared" si="2"/>
        <v>1.6</v>
      </c>
      <c r="Q10" s="58">
        <f t="shared" si="2"/>
        <v>1.6</v>
      </c>
    </row>
    <row r="11" spans="2:17" ht="15.65" thickBot="1">
      <c r="B11" s="58" t="s">
        <v>274</v>
      </c>
      <c r="C11" s="192"/>
      <c r="D11" s="193">
        <f>D10*5</f>
        <v>8.25</v>
      </c>
      <c r="E11" s="23"/>
      <c r="F11" s="58">
        <f>SUM(F4:F9)</f>
        <v>8</v>
      </c>
      <c r="G11" s="58">
        <f t="shared" ref="G11:Q11" si="3">SUM(G4:G9)</f>
        <v>8</v>
      </c>
      <c r="H11" s="58">
        <f t="shared" si="3"/>
        <v>8</v>
      </c>
      <c r="I11" s="58">
        <f t="shared" si="3"/>
        <v>8</v>
      </c>
      <c r="J11" s="58">
        <f t="shared" si="3"/>
        <v>8.5</v>
      </c>
      <c r="K11" s="58">
        <f t="shared" si="3"/>
        <v>8</v>
      </c>
      <c r="L11" s="58">
        <f t="shared" si="3"/>
        <v>9</v>
      </c>
      <c r="M11" s="58">
        <f t="shared" si="3"/>
        <v>9</v>
      </c>
      <c r="N11" s="58">
        <f t="shared" si="3"/>
        <v>8</v>
      </c>
      <c r="O11" s="58">
        <f t="shared" si="3"/>
        <v>8.5</v>
      </c>
      <c r="P11" s="58">
        <f t="shared" si="3"/>
        <v>8</v>
      </c>
      <c r="Q11" s="58">
        <f t="shared" si="3"/>
        <v>8</v>
      </c>
    </row>
    <row r="12" spans="2:17">
      <c r="B12" s="847" t="s">
        <v>271</v>
      </c>
      <c r="C12" s="848"/>
      <c r="D12" s="848"/>
      <c r="E12" s="848"/>
      <c r="F12" s="848"/>
      <c r="G12" s="848"/>
      <c r="H12" s="848"/>
      <c r="I12" s="848"/>
      <c r="J12" s="848"/>
      <c r="K12" s="848"/>
      <c r="L12" s="848"/>
      <c r="M12" s="848"/>
      <c r="N12" s="848"/>
      <c r="O12" s="848"/>
      <c r="P12" s="848"/>
      <c r="Q12" s="848"/>
    </row>
    <row r="13" spans="2:17">
      <c r="B13" s="849" t="s">
        <v>360</v>
      </c>
      <c r="C13" s="849"/>
      <c r="D13" s="297"/>
      <c r="E13" s="297"/>
      <c r="F13" s="297" t="s">
        <v>257</v>
      </c>
      <c r="G13" s="297" t="s">
        <v>258</v>
      </c>
      <c r="H13" s="297" t="s">
        <v>259</v>
      </c>
      <c r="I13" s="297" t="s">
        <v>260</v>
      </c>
      <c r="J13" s="297" t="s">
        <v>261</v>
      </c>
      <c r="K13" s="297" t="s">
        <v>262</v>
      </c>
      <c r="L13" s="297" t="s">
        <v>263</v>
      </c>
      <c r="M13" s="297" t="s">
        <v>264</v>
      </c>
      <c r="N13" s="297" t="s">
        <v>265</v>
      </c>
      <c r="O13" s="297" t="s">
        <v>266</v>
      </c>
      <c r="P13" s="297" t="s">
        <v>267</v>
      </c>
      <c r="Q13" s="297" t="s">
        <v>268</v>
      </c>
    </row>
    <row r="14" spans="2:17">
      <c r="B14" s="298" t="s">
        <v>354</v>
      </c>
      <c r="C14" s="297"/>
      <c r="D14" s="297"/>
      <c r="E14" s="297"/>
      <c r="F14" s="425">
        <v>2</v>
      </c>
      <c r="G14" s="425">
        <v>2</v>
      </c>
      <c r="H14" s="425">
        <v>5</v>
      </c>
      <c r="I14" s="425">
        <v>5</v>
      </c>
      <c r="J14" s="425">
        <v>5</v>
      </c>
      <c r="K14" s="425">
        <v>7</v>
      </c>
      <c r="L14" s="425">
        <v>7</v>
      </c>
      <c r="M14" s="425">
        <v>7</v>
      </c>
      <c r="N14" s="425">
        <v>7</v>
      </c>
      <c r="O14" s="425">
        <v>7</v>
      </c>
      <c r="P14" s="425">
        <v>0</v>
      </c>
      <c r="Q14" s="425">
        <v>0</v>
      </c>
    </row>
    <row r="15" spans="2:17">
      <c r="B15" s="298" t="s">
        <v>355</v>
      </c>
      <c r="C15" s="297"/>
      <c r="D15" s="297"/>
      <c r="E15" s="297"/>
      <c r="F15" s="425">
        <v>2</v>
      </c>
      <c r="G15" s="425">
        <v>2</v>
      </c>
      <c r="H15" s="425"/>
      <c r="I15" s="425"/>
      <c r="J15" s="425"/>
      <c r="K15" s="425"/>
      <c r="L15" s="425"/>
      <c r="M15" s="425"/>
      <c r="N15" s="425"/>
      <c r="O15" s="425"/>
      <c r="P15" s="425"/>
      <c r="Q15" s="425"/>
    </row>
    <row r="16" spans="2:17">
      <c r="B16" s="58" t="s">
        <v>356</v>
      </c>
      <c r="C16" s="297"/>
      <c r="D16" s="297"/>
      <c r="E16" s="297"/>
      <c r="F16" s="194" cm="1">
        <f t="array" aca="1" ref="F16:Q16" ca="1">TRANSPOSE('9. Capacité prod mensuelle'!V38:V49)</f>
        <v>0</v>
      </c>
      <c r="G16" s="194">
        <f ca="1"/>
        <v>0</v>
      </c>
      <c r="H16" s="194">
        <f ca="1"/>
        <v>0</v>
      </c>
      <c r="I16" s="194">
        <f ca="1"/>
        <v>0.14586118876868845</v>
      </c>
      <c r="J16" s="194">
        <f ca="1"/>
        <v>0.14586118876868845</v>
      </c>
      <c r="K16" s="194">
        <f ca="1"/>
        <v>0.14586118876868845</v>
      </c>
      <c r="L16" s="194">
        <f ca="1"/>
        <v>0</v>
      </c>
      <c r="M16" s="194">
        <f ca="1"/>
        <v>0</v>
      </c>
      <c r="N16" s="194">
        <f ca="1"/>
        <v>0.14586118876868845</v>
      </c>
      <c r="O16" s="194">
        <f ca="1"/>
        <v>0.2917223775373769</v>
      </c>
      <c r="P16" s="194">
        <f ca="1"/>
        <v>0.14586118876868845</v>
      </c>
      <c r="Q16" s="194">
        <f ca="1"/>
        <v>0.2917223775373769</v>
      </c>
    </row>
    <row r="17" spans="2:17">
      <c r="B17" s="298" t="s">
        <v>357</v>
      </c>
      <c r="C17" s="297"/>
      <c r="D17" s="297"/>
      <c r="E17" s="297"/>
      <c r="F17" s="425">
        <v>0.5</v>
      </c>
      <c r="G17" s="425">
        <v>0.5</v>
      </c>
      <c r="H17" s="425">
        <v>0.5</v>
      </c>
      <c r="I17" s="425">
        <v>0.5</v>
      </c>
      <c r="J17" s="425">
        <v>0.5</v>
      </c>
      <c r="K17" s="425">
        <v>0.5</v>
      </c>
      <c r="L17" s="425">
        <v>0.5</v>
      </c>
      <c r="M17" s="425">
        <v>0.5</v>
      </c>
      <c r="N17" s="425">
        <v>0.5</v>
      </c>
      <c r="O17" s="425">
        <v>0.5</v>
      </c>
      <c r="P17" s="425">
        <v>0.5</v>
      </c>
      <c r="Q17" s="425">
        <v>0.5</v>
      </c>
    </row>
    <row r="18" spans="2:17">
      <c r="B18" s="298" t="s">
        <v>358</v>
      </c>
      <c r="C18" s="297"/>
      <c r="D18" s="297"/>
      <c r="E18" s="297"/>
      <c r="F18" s="425">
        <v>1</v>
      </c>
      <c r="G18" s="425">
        <v>1</v>
      </c>
      <c r="H18" s="425">
        <v>1</v>
      </c>
      <c r="I18" s="425">
        <v>1</v>
      </c>
      <c r="J18" s="425">
        <v>1</v>
      </c>
      <c r="K18" s="425">
        <v>1</v>
      </c>
      <c r="L18" s="425">
        <v>1</v>
      </c>
      <c r="M18" s="425">
        <v>1</v>
      </c>
      <c r="N18" s="425">
        <v>1</v>
      </c>
      <c r="O18" s="425">
        <v>1</v>
      </c>
      <c r="P18" s="425">
        <v>1</v>
      </c>
      <c r="Q18" s="425">
        <v>1</v>
      </c>
    </row>
    <row r="19" spans="2:17">
      <c r="B19" s="298" t="s">
        <v>359</v>
      </c>
      <c r="C19" s="297"/>
      <c r="D19" s="297"/>
      <c r="E19" s="297"/>
      <c r="F19" s="425">
        <v>0.5</v>
      </c>
      <c r="G19" s="425">
        <v>0.5</v>
      </c>
      <c r="H19" s="425">
        <v>0.5</v>
      </c>
      <c r="I19" s="425">
        <v>0.5</v>
      </c>
      <c r="J19" s="425">
        <v>0.5</v>
      </c>
      <c r="K19" s="425">
        <v>0.5</v>
      </c>
      <c r="L19" s="425">
        <v>0.5</v>
      </c>
      <c r="M19" s="425">
        <v>0.5</v>
      </c>
      <c r="N19" s="425">
        <v>0.5</v>
      </c>
      <c r="O19" s="425">
        <v>0.5</v>
      </c>
      <c r="P19" s="425">
        <v>0.5</v>
      </c>
      <c r="Q19" s="425">
        <v>0.5</v>
      </c>
    </row>
    <row r="20" spans="2:17">
      <c r="B20" s="298" t="s">
        <v>361</v>
      </c>
      <c r="C20" s="297"/>
      <c r="D20" s="297"/>
      <c r="E20" s="297"/>
      <c r="F20" s="425"/>
      <c r="G20" s="425"/>
      <c r="H20" s="425"/>
      <c r="I20" s="425"/>
      <c r="J20" s="425"/>
      <c r="K20" s="425"/>
      <c r="L20" s="425"/>
      <c r="M20" s="425"/>
      <c r="N20" s="425"/>
      <c r="O20" s="425"/>
      <c r="P20" s="425"/>
      <c r="Q20" s="425"/>
    </row>
    <row r="21" spans="2:17">
      <c r="B21" s="298" t="s">
        <v>362</v>
      </c>
      <c r="C21" s="297"/>
      <c r="D21" s="297"/>
      <c r="E21" s="297"/>
      <c r="F21" s="425"/>
      <c r="G21" s="425"/>
      <c r="H21" s="425"/>
      <c r="I21" s="425"/>
      <c r="J21" s="425"/>
      <c r="K21" s="425"/>
      <c r="L21" s="425"/>
      <c r="M21" s="425"/>
      <c r="N21" s="425"/>
      <c r="O21" s="425"/>
      <c r="P21" s="425"/>
      <c r="Q21" s="425"/>
    </row>
    <row r="22" spans="2:17">
      <c r="B22" s="58" t="s">
        <v>275</v>
      </c>
      <c r="C22" s="297"/>
      <c r="D22" s="297"/>
      <c r="E22" s="297"/>
      <c r="F22" s="58">
        <f ca="1">F23/5</f>
        <v>1.2</v>
      </c>
      <c r="G22" s="58">
        <f t="shared" ref="G22:Q22" ca="1" si="4">G23/5</f>
        <v>1.2</v>
      </c>
      <c r="H22" s="58">
        <f t="shared" ca="1" si="4"/>
        <v>1.4</v>
      </c>
      <c r="I22" s="58">
        <f t="shared" ca="1" si="4"/>
        <v>1.4291722377537377</v>
      </c>
      <c r="J22" s="58">
        <f t="shared" ca="1" si="4"/>
        <v>1.4291722377537377</v>
      </c>
      <c r="K22" s="58">
        <f t="shared" ca="1" si="4"/>
        <v>1.8291722377537376</v>
      </c>
      <c r="L22" s="58">
        <f t="shared" ca="1" si="4"/>
        <v>1.8</v>
      </c>
      <c r="M22" s="58">
        <f t="shared" ca="1" si="4"/>
        <v>1.8</v>
      </c>
      <c r="N22" s="58">
        <f t="shared" ca="1" si="4"/>
        <v>1.8291722377537376</v>
      </c>
      <c r="O22" s="58">
        <f t="shared" ca="1" si="4"/>
        <v>1.8583444755074752</v>
      </c>
      <c r="P22" s="58">
        <f t="shared" ca="1" si="4"/>
        <v>0.42917223775373775</v>
      </c>
      <c r="Q22" s="58">
        <f t="shared" ca="1" si="4"/>
        <v>0.45834447550747537</v>
      </c>
    </row>
    <row r="23" spans="2:17">
      <c r="B23" s="58" t="s">
        <v>364</v>
      </c>
      <c r="C23" s="297"/>
      <c r="D23" s="297"/>
      <c r="E23" s="297"/>
      <c r="F23" s="58">
        <f ca="1">SUM(F14:F21)</f>
        <v>6</v>
      </c>
      <c r="G23" s="58">
        <f t="shared" ref="G23:Q23" ca="1" si="5">SUM(G14:G21)</f>
        <v>6</v>
      </c>
      <c r="H23" s="58">
        <f t="shared" ca="1" si="5"/>
        <v>7</v>
      </c>
      <c r="I23" s="58">
        <f t="shared" ca="1" si="5"/>
        <v>7.1458611887686887</v>
      </c>
      <c r="J23" s="58">
        <f t="shared" ca="1" si="5"/>
        <v>7.1458611887686887</v>
      </c>
      <c r="K23" s="58">
        <f t="shared" ca="1" si="5"/>
        <v>9.1458611887686878</v>
      </c>
      <c r="L23" s="58">
        <f t="shared" ca="1" si="5"/>
        <v>9</v>
      </c>
      <c r="M23" s="58">
        <f t="shared" ca="1" si="5"/>
        <v>9</v>
      </c>
      <c r="N23" s="58">
        <f t="shared" ca="1" si="5"/>
        <v>9.1458611887686878</v>
      </c>
      <c r="O23" s="58">
        <f t="shared" ca="1" si="5"/>
        <v>9.2917223775373756</v>
      </c>
      <c r="P23" s="58">
        <f t="shared" ca="1" si="5"/>
        <v>2.1458611887686887</v>
      </c>
      <c r="Q23" s="58">
        <f t="shared" ca="1" si="5"/>
        <v>2.291722377537377</v>
      </c>
    </row>
    <row r="24" spans="2:17" ht="15.65" thickBot="1">
      <c r="B24" s="297"/>
      <c r="C24" s="297"/>
      <c r="D24" s="297"/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297"/>
    </row>
    <row r="25" spans="2:17" ht="15.65" thickBot="1">
      <c r="B25" s="195" t="s">
        <v>528</v>
      </c>
      <c r="C25" s="426"/>
      <c r="D25" s="426"/>
      <c r="E25" s="426"/>
      <c r="F25" s="196">
        <f ca="1">IFERROR(F22/F10,"")</f>
        <v>0.74999999999999989</v>
      </c>
      <c r="G25" s="196">
        <f t="shared" ref="G25:Q25" ca="1" si="6">IFERROR(G22/G10,"")</f>
        <v>0.74999999999999989</v>
      </c>
      <c r="H25" s="196">
        <f t="shared" ca="1" si="6"/>
        <v>0.87499999999999989</v>
      </c>
      <c r="I25" s="196">
        <f t="shared" ca="1" si="6"/>
        <v>0.89323264859608598</v>
      </c>
      <c r="J25" s="196">
        <f t="shared" ca="1" si="6"/>
        <v>0.84068955161984571</v>
      </c>
      <c r="K25" s="196">
        <f t="shared" ca="1" si="6"/>
        <v>1.143232648596086</v>
      </c>
      <c r="L25" s="196">
        <f t="shared" ca="1" si="6"/>
        <v>1</v>
      </c>
      <c r="M25" s="196">
        <f t="shared" ca="1" si="6"/>
        <v>1</v>
      </c>
      <c r="N25" s="196">
        <f t="shared" ca="1" si="6"/>
        <v>1.143232648596086</v>
      </c>
      <c r="O25" s="196">
        <f t="shared" ca="1" si="6"/>
        <v>1.0931438091220442</v>
      </c>
      <c r="P25" s="196">
        <f t="shared" ca="1" si="6"/>
        <v>0.26823264859608609</v>
      </c>
      <c r="Q25" s="196">
        <f t="shared" ca="1" si="6"/>
        <v>0.28646529719217206</v>
      </c>
    </row>
  </sheetData>
  <sheetProtection algorithmName="SHA-512" hashValue="UmaN2olKf7lfNIJF5SBd0R+PNyg87jPQ7UapI7HMiYT+YBUPrcaP4CmsPQ93w/hTU1lJ36dUXwsqq5+zVF3iKg==" saltValue="YlD0+lkLfgxwF1+LnCd7MQ==" spinCount="100000" sheet="1" objects="1" scenarios="1" sort="0" autoFilter="0"/>
  <mergeCells count="5">
    <mergeCell ref="B1:Q1"/>
    <mergeCell ref="B12:Q12"/>
    <mergeCell ref="B13:C13"/>
    <mergeCell ref="F3:Q3"/>
    <mergeCell ref="D3:E3"/>
  </mergeCells>
  <phoneticPr fontId="26" type="noConversion"/>
  <conditionalFormatting sqref="F25:Q25">
    <cfRule type="cellIs" dxfId="5" priority="1" operator="greaterThan">
      <formula>1</formula>
    </cfRule>
    <cfRule type="cellIs" dxfId="4" priority="2" operator="greaterThan">
      <formula>0.8</formula>
    </cfRule>
    <cfRule type="cellIs" dxfId="3" priority="3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B0A60-2BFD-41FA-B9FE-7924F54E372F}">
  <sheetPr>
    <tabColor theme="9"/>
    <pageSetUpPr fitToPage="1"/>
  </sheetPr>
  <dimension ref="A1:AM90"/>
  <sheetViews>
    <sheetView showGridLines="0" topLeftCell="B1" zoomScale="85" zoomScaleNormal="85" zoomScaleSheetLayoutView="75" workbookViewId="0">
      <selection activeCell="C70" sqref="C70"/>
    </sheetView>
  </sheetViews>
  <sheetFormatPr baseColWidth="10" defaultColWidth="11.44140625" defaultRowHeight="13.15" outlineLevelRow="1" outlineLevelCol="1"/>
  <cols>
    <col min="1" max="1" width="10.6640625" style="197" hidden="1" customWidth="1" outlineLevel="1"/>
    <col min="2" max="2" width="57.109375" style="34" customWidth="1" collapsed="1"/>
    <col min="3" max="3" width="17.77734375" style="34" customWidth="1"/>
    <col min="4" max="6" width="18.6640625" style="66" customWidth="1"/>
    <col min="7" max="7" width="11.33203125" style="34" customWidth="1"/>
    <col min="8" max="8" width="40.88671875" style="34" customWidth="1" outlineLevel="1"/>
    <col min="9" max="11" width="18" style="34" customWidth="1" outlineLevel="1"/>
    <col min="12" max="12" width="17.109375" style="34" customWidth="1" outlineLevel="1"/>
    <col min="13" max="13" width="15.88671875" style="34" customWidth="1" outlineLevel="1"/>
    <col min="14" max="14" width="15.6640625" style="34" customWidth="1" outlineLevel="1"/>
    <col min="15" max="15" width="31.109375" style="34" customWidth="1" outlineLevel="1"/>
    <col min="16" max="16" width="16.33203125" style="34" customWidth="1" outlineLevel="1"/>
    <col min="17" max="17" width="10.88671875" style="34" customWidth="1" outlineLevel="1"/>
    <col min="18" max="18" width="9.6640625" style="34" customWidth="1" outlineLevel="1"/>
    <col min="19" max="23" width="11.44140625" style="34" customWidth="1" outlineLevel="1"/>
    <col min="24" max="16384" width="11.44140625" style="34"/>
  </cols>
  <sheetData>
    <row r="1" spans="1:13" s="30" customFormat="1"/>
    <row r="2" spans="1:13" s="30" customFormat="1" ht="13.15" customHeight="1">
      <c r="B2" s="760"/>
      <c r="C2" s="760"/>
      <c r="D2" s="760"/>
      <c r="E2" s="760"/>
      <c r="F2" s="760"/>
      <c r="G2" s="760"/>
      <c r="H2" s="33"/>
      <c r="I2" s="33"/>
      <c r="J2" s="33"/>
      <c r="K2" s="33"/>
      <c r="L2" s="33"/>
      <c r="M2" s="33"/>
    </row>
    <row r="3" spans="1:13" s="30" customFormat="1" ht="13.15" customHeight="1">
      <c r="B3" s="760"/>
      <c r="C3" s="760"/>
      <c r="D3" s="760"/>
      <c r="E3" s="760"/>
      <c r="F3" s="760"/>
      <c r="G3" s="760"/>
      <c r="H3" s="33"/>
      <c r="I3" s="33"/>
      <c r="J3" s="33"/>
      <c r="K3" s="33"/>
      <c r="L3" s="33"/>
      <c r="M3" s="33"/>
    </row>
    <row r="4" spans="1:13" s="30" customFormat="1" ht="13.15" customHeight="1">
      <c r="B4" s="760"/>
      <c r="C4" s="760"/>
      <c r="D4" s="760"/>
      <c r="E4" s="760"/>
      <c r="F4" s="760"/>
      <c r="G4" s="760"/>
      <c r="H4" s="33"/>
      <c r="I4" s="33"/>
      <c r="J4" s="33"/>
      <c r="K4" s="33"/>
      <c r="L4" s="33"/>
      <c r="M4" s="33"/>
    </row>
    <row r="5" spans="1:13" s="30" customFormat="1" ht="13.15" customHeight="1">
      <c r="B5" s="760"/>
      <c r="C5" s="760"/>
      <c r="D5" s="760"/>
      <c r="E5" s="760"/>
      <c r="F5" s="760"/>
      <c r="G5" s="760"/>
    </row>
    <row r="6" spans="1:13" s="30" customFormat="1" ht="13.15" customHeight="1">
      <c r="B6" s="760"/>
      <c r="C6" s="760"/>
      <c r="D6" s="760"/>
      <c r="E6" s="760"/>
      <c r="F6" s="760"/>
      <c r="G6" s="760"/>
    </row>
    <row r="7" spans="1:13">
      <c r="A7" s="61"/>
      <c r="D7" s="34"/>
      <c r="E7" s="34"/>
      <c r="F7" s="105"/>
      <c r="G7" s="105"/>
    </row>
    <row r="8" spans="1:13" ht="13.8" thickBot="1"/>
    <row r="9" spans="1:13" ht="13.8" thickBot="1">
      <c r="A9" s="427"/>
      <c r="B9" s="428"/>
      <c r="C9" s="428"/>
      <c r="D9" s="339"/>
      <c r="E9" s="198" t="s">
        <v>80</v>
      </c>
      <c r="F9" s="339"/>
      <c r="G9" s="299" t="s">
        <v>558</v>
      </c>
    </row>
    <row r="10" spans="1:13" ht="15.65" thickBot="1">
      <c r="A10" s="427"/>
      <c r="B10" s="429"/>
      <c r="C10" s="71">
        <f>'1. DONNEES DE BASE'!$B$1-2</f>
        <v>2024</v>
      </c>
      <c r="D10" s="71">
        <f>C10+1</f>
        <v>2025</v>
      </c>
      <c r="E10" s="71">
        <f t="shared" ref="E10:F10" si="0">D10+1</f>
        <v>2026</v>
      </c>
      <c r="F10" s="71">
        <f t="shared" si="0"/>
        <v>2027</v>
      </c>
      <c r="G10" s="299"/>
    </row>
    <row r="11" spans="1:13" ht="14.25" customHeight="1" thickBot="1">
      <c r="A11" s="430">
        <v>0</v>
      </c>
      <c r="B11" s="431" t="s">
        <v>199</v>
      </c>
      <c r="C11" s="199">
        <f ca="1">+C16+C21</f>
        <v>54295.280229861637</v>
      </c>
      <c r="D11" s="199">
        <f ca="1">+D16+D21</f>
        <v>92296.889171823903</v>
      </c>
      <c r="E11" s="199">
        <f ca="1">+E16+E21</f>
        <v>4466.1378542976936</v>
      </c>
      <c r="F11" s="199">
        <f ca="1">+F16+F21</f>
        <v>2192.9577084905659</v>
      </c>
      <c r="G11" s="299"/>
    </row>
    <row r="12" spans="1:13" ht="15.65" thickBot="1">
      <c r="A12" s="427"/>
      <c r="B12" s="432" t="s">
        <v>200</v>
      </c>
      <c r="C12" s="200">
        <f ca="1">'5. RESUME GAMME - CACV'!U34</f>
        <v>57747.847924528302</v>
      </c>
      <c r="D12" s="201">
        <f ca="1">'5. RESUME GAMME - CACV'!U47</f>
        <v>101638.37735849057</v>
      </c>
      <c r="E12" s="202">
        <f ca="1">'5. RESUME GAMME - CACV'!U60</f>
        <v>3511.9811320754711</v>
      </c>
      <c r="F12" s="203">
        <f ca="1">'5. RESUME GAMME - CACV'!U82</f>
        <v>1778.3773584905659</v>
      </c>
      <c r="G12" s="299"/>
    </row>
    <row r="13" spans="1:13" ht="15.65" thickBot="1">
      <c r="A13" s="427"/>
      <c r="B13" s="432" t="s">
        <v>382</v>
      </c>
      <c r="C13" s="200">
        <f ca="1">'5. RESUME GAMME - CACV'!U32</f>
        <v>1754.7571193333331</v>
      </c>
      <c r="D13" s="201">
        <f ca="1">'5. RESUME GAMME - CACV'!U45</f>
        <v>210.99284000000006</v>
      </c>
      <c r="E13" s="202">
        <f ca="1">'5. RESUME GAMME - CACV'!U58</f>
        <v>1289.4006888888887</v>
      </c>
      <c r="F13" s="203">
        <f ca="1">'5. RESUME GAMME - CACV'!U80</f>
        <v>580.23030999999992</v>
      </c>
      <c r="G13" s="299"/>
    </row>
    <row r="14" spans="1:13" ht="15.05">
      <c r="A14" s="427"/>
      <c r="B14" s="432" t="s">
        <v>206</v>
      </c>
      <c r="C14" s="200">
        <f ca="1">'5. RESUME GAMME - CACV'!U34-'5. RESUME GAMME - CACV'!U35</f>
        <v>15476.324814</v>
      </c>
      <c r="D14" s="201">
        <f ca="1">'5. RESUME GAMME - CACV'!U47-'5. RESUME GAMME - CACV'!U48</f>
        <v>28390.258804444456</v>
      </c>
      <c r="E14" s="202">
        <f ca="1">'5. RESUME GAMME - CACV'!U60-'5. RESUME GAMME - CACV'!U61</f>
        <v>996.35507777777684</v>
      </c>
      <c r="F14" s="203">
        <f ca="1">'5. RESUME GAMME - CACV'!U82-'5. RESUME GAMME - CACV'!U83</f>
        <v>492.31662666666648</v>
      </c>
      <c r="G14" s="299"/>
    </row>
    <row r="15" spans="1:13" ht="13.8" thickBot="1">
      <c r="A15" s="427"/>
      <c r="B15" s="299" t="s">
        <v>381</v>
      </c>
      <c r="C15" s="312"/>
      <c r="D15" s="312"/>
      <c r="E15" s="312"/>
      <c r="F15" s="312"/>
      <c r="G15" s="299"/>
    </row>
    <row r="16" spans="1:13" ht="15.65" thickBot="1">
      <c r="A16" s="433">
        <v>611</v>
      </c>
      <c r="B16" s="204" t="s">
        <v>209</v>
      </c>
      <c r="C16" s="205">
        <f t="shared" ref="C16:E16" ca="1" si="1">C12+C13-C14-C15</f>
        <v>44026.280229861637</v>
      </c>
      <c r="D16" s="205">
        <f t="shared" ca="1" si="1"/>
        <v>73459.111394046122</v>
      </c>
      <c r="E16" s="205">
        <f t="shared" ca="1" si="1"/>
        <v>3805.0267431865827</v>
      </c>
      <c r="F16" s="205">
        <f ca="1">F12+F13-F14-F15</f>
        <v>1866.2910418238991</v>
      </c>
      <c r="G16" s="299"/>
    </row>
    <row r="17" spans="1:39" ht="15.65" outlineLevel="1" thickBot="1">
      <c r="A17" s="427"/>
      <c r="B17" s="434" t="s">
        <v>211</v>
      </c>
      <c r="C17" s="434"/>
      <c r="D17" s="435"/>
      <c r="E17" s="436"/>
      <c r="F17" s="437"/>
      <c r="G17" s="299"/>
    </row>
    <row r="18" spans="1:39" ht="15.65" outlineLevel="1" thickBot="1">
      <c r="A18" s="427"/>
      <c r="B18" s="434" t="s">
        <v>212</v>
      </c>
      <c r="C18" s="434"/>
      <c r="D18" s="435"/>
      <c r="E18" s="436"/>
      <c r="F18" s="437"/>
      <c r="G18" s="299"/>
    </row>
    <row r="19" spans="1:39" ht="15.65" outlineLevel="1" thickBot="1">
      <c r="A19" s="427"/>
      <c r="B19" s="432" t="s">
        <v>540</v>
      </c>
      <c r="C19" s="200">
        <f ca="1">'5. RESUME GAMME - CACV'!U33</f>
        <v>10269</v>
      </c>
      <c r="D19" s="201">
        <f ca="1">'5. RESUME GAMME - CACV'!U46</f>
        <v>18837.777777777777</v>
      </c>
      <c r="E19" s="202">
        <f ca="1">'5. RESUME GAMME - CACV'!U59</f>
        <v>661.1111111111112</v>
      </c>
      <c r="F19" s="203">
        <f ca="1">'5. RESUME GAMME - CACV'!U81</f>
        <v>326.66666666666669</v>
      </c>
      <c r="G19" s="299"/>
    </row>
    <row r="20" spans="1:39" ht="15.65" outlineLevel="1" thickBot="1">
      <c r="A20" s="206" t="s">
        <v>97</v>
      </c>
      <c r="B20" s="434"/>
      <c r="C20" s="434"/>
      <c r="D20" s="435"/>
      <c r="E20" s="436"/>
      <c r="F20" s="437"/>
      <c r="G20" s="299"/>
      <c r="AM20" s="19"/>
    </row>
    <row r="21" spans="1:39" ht="14.25" customHeight="1" thickBot="1">
      <c r="A21" s="433">
        <v>6116</v>
      </c>
      <c r="B21" s="204" t="s">
        <v>213</v>
      </c>
      <c r="C21" s="207">
        <f ca="1">SUM(C17:C20)</f>
        <v>10269</v>
      </c>
      <c r="D21" s="207">
        <f ca="1">SUM(D17:D20)</f>
        <v>18837.777777777777</v>
      </c>
      <c r="E21" s="207">
        <f ca="1">SUM(E17:E20)</f>
        <v>661.1111111111112</v>
      </c>
      <c r="F21" s="207">
        <f ca="1">SUM(F17:F20)</f>
        <v>326.66666666666669</v>
      </c>
      <c r="G21" s="299"/>
    </row>
    <row r="22" spans="1:39" ht="14.25" customHeight="1" thickBot="1">
      <c r="A22" s="352">
        <v>6110</v>
      </c>
      <c r="B22" s="438"/>
      <c r="C22" s="438"/>
      <c r="D22" s="439"/>
      <c r="E22" s="439"/>
      <c r="F22" s="439"/>
      <c r="G22" s="299"/>
    </row>
    <row r="23" spans="1:39" ht="14.25" customHeight="1" thickBot="1">
      <c r="A23" s="430">
        <v>6112</v>
      </c>
      <c r="B23" s="440" t="s">
        <v>100</v>
      </c>
      <c r="C23" s="20">
        <f>'4. CHARGES FIXES'!H21</f>
        <v>174.75728155339806</v>
      </c>
      <c r="D23" s="20">
        <f>'4. CHARGES FIXES'!I21</f>
        <v>180</v>
      </c>
      <c r="E23" s="20">
        <f>'4. CHARGES FIXES'!J21</f>
        <v>185.4</v>
      </c>
      <c r="F23" s="20">
        <f>'4. CHARGES FIXES'!K21</f>
        <v>190.96200000000002</v>
      </c>
      <c r="G23" s="299"/>
    </row>
    <row r="24" spans="1:39" ht="14.25" customHeight="1" thickBot="1">
      <c r="A24" s="358">
        <v>6122</v>
      </c>
      <c r="B24" s="440" t="s">
        <v>108</v>
      </c>
      <c r="C24" s="20">
        <f ca="1">'4. CHARGES FIXES'!H30</f>
        <v>227.8132612771127</v>
      </c>
      <c r="D24" s="20">
        <f ca="1">'4. CHARGES FIXES'!I30</f>
        <v>234.64765911542611</v>
      </c>
      <c r="E24" s="20">
        <f ca="1">'4. CHARGES FIXES'!J30</f>
        <v>241.68708888888889</v>
      </c>
      <c r="F24" s="20">
        <f ca="1">'4. CHARGES FIXES'!K30</f>
        <v>248.93770155555558</v>
      </c>
      <c r="G24" s="299"/>
    </row>
    <row r="25" spans="1:39" ht="14.25" customHeight="1" thickBot="1">
      <c r="A25" s="354">
        <v>61325</v>
      </c>
      <c r="B25" s="440" t="s">
        <v>116</v>
      </c>
      <c r="C25" s="20">
        <f>'4. CHARGES FIXES'!H41</f>
        <v>174.75728155339806</v>
      </c>
      <c r="D25" s="20">
        <f>'4. CHARGES FIXES'!I41</f>
        <v>180</v>
      </c>
      <c r="E25" s="20">
        <f>'4. CHARGES FIXES'!J41</f>
        <v>185.4</v>
      </c>
      <c r="F25" s="20">
        <f>'4. CHARGES FIXES'!K41</f>
        <v>190.96200000000002</v>
      </c>
      <c r="G25" s="299"/>
    </row>
    <row r="26" spans="1:39" ht="14.25" customHeight="1" thickBot="1">
      <c r="A26" s="358">
        <v>6146</v>
      </c>
      <c r="B26" s="440" t="s">
        <v>125</v>
      </c>
      <c r="C26" s="20">
        <f>'4. CHARGES FIXES'!H50</f>
        <v>145.63106796116503</v>
      </c>
      <c r="D26" s="20">
        <f>'4. CHARGES FIXES'!I50</f>
        <v>150</v>
      </c>
      <c r="E26" s="20">
        <f>'4. CHARGES FIXES'!J50</f>
        <v>154.5</v>
      </c>
      <c r="F26" s="20">
        <f>'4. CHARGES FIXES'!K50</f>
        <v>159.13500000000002</v>
      </c>
      <c r="G26" s="299"/>
    </row>
    <row r="27" spans="1:39" ht="14.25" customHeight="1" thickBot="1">
      <c r="A27" s="360">
        <v>6162</v>
      </c>
      <c r="B27" s="440" t="s">
        <v>130</v>
      </c>
      <c r="C27" s="20">
        <f>'4. CHARGES FIXES'!H56</f>
        <v>29.126213592233007</v>
      </c>
      <c r="D27" s="20">
        <f>'4. CHARGES FIXES'!I56</f>
        <v>30</v>
      </c>
      <c r="E27" s="20">
        <f>'4. CHARGES FIXES'!J56</f>
        <v>30.900000000000002</v>
      </c>
      <c r="F27" s="20">
        <f>'4. CHARGES FIXES'!K56</f>
        <v>31.827000000000002</v>
      </c>
      <c r="G27" s="299"/>
    </row>
    <row r="28" spans="1:39" ht="14.25" customHeight="1" thickBot="1">
      <c r="A28" s="360">
        <v>6163</v>
      </c>
      <c r="B28" s="440" t="s">
        <v>131</v>
      </c>
      <c r="C28" s="20">
        <f>'4. CHARGES FIXES'!H57</f>
        <v>233.00970873786403</v>
      </c>
      <c r="D28" s="20">
        <f>'4. CHARGES FIXES'!I57</f>
        <v>240</v>
      </c>
      <c r="E28" s="20">
        <f>'4. CHARGES FIXES'!J57</f>
        <v>247.20000000000002</v>
      </c>
      <c r="F28" s="20">
        <f>'4. CHARGES FIXES'!K57</f>
        <v>254.61600000000001</v>
      </c>
      <c r="G28" s="299"/>
    </row>
    <row r="29" spans="1:39" ht="14.25" customHeight="1" thickBot="1">
      <c r="A29" s="358">
        <v>61812</v>
      </c>
      <c r="B29" s="440" t="s">
        <v>139</v>
      </c>
      <c r="C29" s="20">
        <f>'4. CHARGES FIXES'!H66</f>
        <v>58.252427184466015</v>
      </c>
      <c r="D29" s="20">
        <f>'4. CHARGES FIXES'!I66</f>
        <v>60</v>
      </c>
      <c r="E29" s="20">
        <f>'4. CHARGES FIXES'!J66</f>
        <v>61.800000000000004</v>
      </c>
      <c r="F29" s="20">
        <f>'4. CHARGES FIXES'!K66</f>
        <v>63.654000000000003</v>
      </c>
      <c r="G29" s="299"/>
    </row>
    <row r="30" spans="1:39" ht="14.25" customHeight="1" thickBot="1">
      <c r="A30" s="358">
        <v>623</v>
      </c>
      <c r="B30" s="440" t="s">
        <v>143</v>
      </c>
      <c r="C30" s="20">
        <f>'4. CHARGES FIXES'!H70</f>
        <v>36893.203883495145</v>
      </c>
      <c r="D30" s="20">
        <f>'4. CHARGES FIXES'!I70</f>
        <v>38000</v>
      </c>
      <c r="E30" s="20">
        <f>'4. CHARGES FIXES'!J70</f>
        <v>39140</v>
      </c>
      <c r="F30" s="20">
        <f>'4. CHARGES FIXES'!K70</f>
        <v>40314.200000000004</v>
      </c>
      <c r="G30" s="299"/>
    </row>
    <row r="31" spans="1:39" ht="14.25" customHeight="1" thickBot="1">
      <c r="A31" s="360">
        <v>6402</v>
      </c>
      <c r="B31" s="440" t="s">
        <v>144</v>
      </c>
      <c r="C31" s="20">
        <f>'4. CHARGES FIXES'!H71</f>
        <v>12390</v>
      </c>
      <c r="D31" s="20">
        <f>'4. CHARGES FIXES'!I71</f>
        <v>10130</v>
      </c>
      <c r="E31" s="20">
        <f>'4. CHARGES FIXES'!J71</f>
        <v>10130</v>
      </c>
      <c r="F31" s="20">
        <f>'4. CHARGES FIXES'!K71</f>
        <v>10130</v>
      </c>
      <c r="G31" s="299"/>
    </row>
    <row r="32" spans="1:39" ht="14.25" customHeight="1" thickBot="1">
      <c r="A32" s="360">
        <v>6404</v>
      </c>
      <c r="B32" s="440" t="s">
        <v>145</v>
      </c>
      <c r="C32" s="20">
        <f>'4. CHARGES FIXES'!H72</f>
        <v>11.650485436893204</v>
      </c>
      <c r="D32" s="20">
        <f>'4. CHARGES FIXES'!I72</f>
        <v>12</v>
      </c>
      <c r="E32" s="20">
        <f>'4. CHARGES FIXES'!J72</f>
        <v>12.36</v>
      </c>
      <c r="F32" s="20">
        <f>'4. CHARGES FIXES'!K72</f>
        <v>12.7308</v>
      </c>
      <c r="G32" s="299"/>
    </row>
    <row r="33" spans="1:7" ht="14.25" customHeight="1" thickBot="1">
      <c r="A33" s="361">
        <v>658</v>
      </c>
      <c r="B33" s="440" t="s">
        <v>150</v>
      </c>
      <c r="C33" s="20">
        <f>'4. CHARGES FIXES'!H77</f>
        <v>8.7378640776699026</v>
      </c>
      <c r="D33" s="20">
        <f>'4. CHARGES FIXES'!I77</f>
        <v>9</v>
      </c>
      <c r="E33" s="20">
        <f>'4. CHARGES FIXES'!J77</f>
        <v>9.27</v>
      </c>
      <c r="F33" s="20">
        <f>'4. CHARGES FIXES'!K77</f>
        <v>9.5480999999999998</v>
      </c>
      <c r="G33" s="299"/>
    </row>
    <row r="34" spans="1:7" ht="14.25" customHeight="1" thickBot="1">
      <c r="A34" s="441"/>
      <c r="B34" s="440" t="s">
        <v>154</v>
      </c>
      <c r="C34" s="20">
        <f>'4. CHARGES FIXES'!H81</f>
        <v>1471.5224120256039</v>
      </c>
      <c r="D34" s="20">
        <f>'4. CHARGES FIXES'!I81</f>
        <v>1515.6680843863721</v>
      </c>
      <c r="E34" s="20">
        <f>'4. CHARGES FIXES'!J81</f>
        <v>1561.1381269179633</v>
      </c>
      <c r="F34" s="20">
        <f>'4. CHARGES FIXES'!K81</f>
        <v>1607.9722707255023</v>
      </c>
      <c r="G34" s="299"/>
    </row>
    <row r="35" spans="1:7" ht="15.65" thickBot="1">
      <c r="A35" s="427"/>
      <c r="B35" s="209" t="s">
        <v>242</v>
      </c>
      <c r="C35" s="21">
        <f ca="1">SUM(C34,C33,C32,C31,C30,C29,C28,C27,C26,C25,C24,C23)</f>
        <v>51818.461886894955</v>
      </c>
      <c r="D35" s="21">
        <f t="shared" ref="D35:F35" ca="1" si="2">SUM(D34,D33,D32,D31,D30,D29,D28,D27,D26,D25,D24,D23)</f>
        <v>50741.3157435018</v>
      </c>
      <c r="E35" s="21">
        <f t="shared" ca="1" si="2"/>
        <v>51959.655215806852</v>
      </c>
      <c r="F35" s="21">
        <f t="shared" ca="1" si="2"/>
        <v>53214.544872281069</v>
      </c>
      <c r="G35" s="299"/>
    </row>
    <row r="36" spans="1:7" ht="15.65" thickBot="1">
      <c r="A36" s="427"/>
      <c r="B36" s="438"/>
      <c r="C36" s="438"/>
      <c r="D36" s="439"/>
      <c r="E36" s="439"/>
      <c r="F36" s="439"/>
      <c r="G36" s="299"/>
    </row>
    <row r="37" spans="1:7" ht="15.65" thickBot="1">
      <c r="A37" s="427"/>
      <c r="B37" s="209" t="s">
        <v>243</v>
      </c>
      <c r="C37" s="22">
        <f ca="1" xml:space="preserve"> C11-C35</f>
        <v>2476.8183429666824</v>
      </c>
      <c r="D37" s="22">
        <f ca="1" xml:space="preserve"> D11-D35</f>
        <v>41555.573428322103</v>
      </c>
      <c r="E37" s="22">
        <f ca="1" xml:space="preserve"> E11-E35</f>
        <v>-47493.517361509155</v>
      </c>
      <c r="F37" s="22">
        <f ca="1" xml:space="preserve"> F11-F35</f>
        <v>-51021.5871637905</v>
      </c>
      <c r="G37" s="299"/>
    </row>
    <row r="38" spans="1:7" ht="13.8" thickBot="1">
      <c r="A38" s="427"/>
      <c r="B38" s="299"/>
      <c r="C38" s="299"/>
      <c r="D38" s="299"/>
      <c r="E38" s="299"/>
      <c r="F38" s="299"/>
      <c r="G38" s="299"/>
    </row>
    <row r="39" spans="1:7" ht="15.65" thickBot="1">
      <c r="A39" s="427"/>
      <c r="B39" s="210" t="s">
        <v>342</v>
      </c>
      <c r="C39" s="211"/>
      <c r="D39" s="212"/>
      <c r="E39" s="212"/>
      <c r="F39" s="213"/>
      <c r="G39" s="299"/>
    </row>
    <row r="40" spans="1:7" ht="15.05">
      <c r="A40" s="427"/>
      <c r="B40" s="214" t="s">
        <v>244</v>
      </c>
      <c r="C40" s="215">
        <f ca="1">C37</f>
        <v>2476.8183429666824</v>
      </c>
      <c r="D40" s="215">
        <f ca="1">D37</f>
        <v>41555.573428322103</v>
      </c>
      <c r="E40" s="216">
        <f ca="1">E37</f>
        <v>-47493.517361509155</v>
      </c>
      <c r="F40" s="217">
        <f ca="1">F37</f>
        <v>-51021.5871637905</v>
      </c>
      <c r="G40" s="299"/>
    </row>
    <row r="41" spans="1:7" ht="21" customHeight="1">
      <c r="A41" s="427"/>
      <c r="B41" s="442" t="s">
        <v>344</v>
      </c>
      <c r="C41" s="443">
        <f ca="1">'14. CALCUL IMPOT'!B58</f>
        <v>495.36366859333651</v>
      </c>
      <c r="D41" s="443">
        <f ca="1">'14. CALCUL IMPOT'!C58</f>
        <v>8311.1146856644209</v>
      </c>
      <c r="E41" s="443">
        <f ca="1">'14. CALCUL IMPOT'!D58</f>
        <v>0</v>
      </c>
      <c r="F41" s="443">
        <f ca="1">'14. CALCUL IMPOT'!E58</f>
        <v>0</v>
      </c>
      <c r="G41" s="299" t="s">
        <v>383</v>
      </c>
    </row>
    <row r="42" spans="1:7" ht="15.05">
      <c r="A42" s="427"/>
      <c r="B42" s="442"/>
      <c r="C42" s="218"/>
      <c r="D42" s="218"/>
      <c r="E42" s="219"/>
      <c r="F42" s="220"/>
      <c r="G42" s="299"/>
    </row>
    <row r="43" spans="1:7" ht="15.65" thickBot="1">
      <c r="A43" s="427"/>
      <c r="B43" s="221" t="s">
        <v>245</v>
      </c>
      <c r="C43" s="222">
        <f ca="1">C40 -C41</f>
        <v>1981.4546743733458</v>
      </c>
      <c r="D43" s="222">
        <f t="shared" ref="D43:F43" ca="1" si="3">D40 -D41</f>
        <v>33244.458742657684</v>
      </c>
      <c r="E43" s="222">
        <f t="shared" ca="1" si="3"/>
        <v>-47493.517361509155</v>
      </c>
      <c r="F43" s="222">
        <f t="shared" ca="1" si="3"/>
        <v>-51021.5871637905</v>
      </c>
      <c r="G43" s="299"/>
    </row>
    <row r="44" spans="1:7" ht="15.05" customHeight="1" thickBot="1">
      <c r="A44" s="427"/>
      <c r="B44" s="444"/>
      <c r="C44" s="444"/>
      <c r="D44" s="439"/>
      <c r="E44" s="439"/>
      <c r="F44" s="439"/>
      <c r="G44" s="299"/>
    </row>
    <row r="45" spans="1:7" ht="15.05" customHeight="1">
      <c r="A45" s="427"/>
      <c r="B45" s="214" t="s">
        <v>246</v>
      </c>
      <c r="C45" s="214"/>
      <c r="D45" s="223"/>
      <c r="E45" s="224"/>
      <c r="F45" s="225"/>
      <c r="G45" s="299"/>
    </row>
    <row r="46" spans="1:7" ht="15.05" customHeight="1">
      <c r="A46" s="427"/>
      <c r="B46" s="445" t="s">
        <v>247</v>
      </c>
      <c r="C46" s="226">
        <f ca="1">C43+C31</f>
        <v>14371.454674373346</v>
      </c>
      <c r="D46" s="226">
        <f ca="1">D43+D31</f>
        <v>43374.458742657684</v>
      </c>
      <c r="E46" s="227">
        <f ca="1">E43+E31</f>
        <v>-37363.517361509155</v>
      </c>
      <c r="F46" s="228">
        <f ca="1">F43+F31</f>
        <v>-40891.5871637905</v>
      </c>
      <c r="G46" s="299"/>
    </row>
    <row r="47" spans="1:7" ht="15.05" customHeight="1">
      <c r="A47" s="427"/>
      <c r="B47" s="446" t="s">
        <v>248</v>
      </c>
      <c r="C47" s="447">
        <v>0</v>
      </c>
      <c r="D47" s="447">
        <v>0</v>
      </c>
      <c r="E47" s="448">
        <v>0</v>
      </c>
      <c r="F47" s="449">
        <v>0</v>
      </c>
      <c r="G47" s="299" t="s">
        <v>573</v>
      </c>
    </row>
    <row r="48" spans="1:7" ht="15.05">
      <c r="A48" s="427"/>
      <c r="B48" s="446" t="s">
        <v>249</v>
      </c>
      <c r="C48" s="447">
        <v>0</v>
      </c>
      <c r="D48" s="447">
        <v>0</v>
      </c>
      <c r="E48" s="448">
        <v>0</v>
      </c>
      <c r="F48" s="449">
        <v>0</v>
      </c>
      <c r="G48" s="299" t="s">
        <v>573</v>
      </c>
    </row>
    <row r="49" spans="1:7" ht="15.65" thickBot="1">
      <c r="A49" s="427"/>
      <c r="B49" s="442" t="s">
        <v>250</v>
      </c>
      <c r="C49" s="450">
        <v>0</v>
      </c>
      <c r="D49" s="450">
        <v>0</v>
      </c>
      <c r="E49" s="451">
        <v>0</v>
      </c>
      <c r="F49" s="452">
        <v>0</v>
      </c>
      <c r="G49" s="299" t="s">
        <v>573</v>
      </c>
    </row>
    <row r="50" spans="1:7" ht="15.65" thickBot="1">
      <c r="A50" s="427"/>
      <c r="B50" s="209" t="s">
        <v>251</v>
      </c>
      <c r="C50" s="229">
        <f ca="1">C46-SUM(C47:C49)</f>
        <v>14371.454674373346</v>
      </c>
      <c r="D50" s="229">
        <f ca="1">D46-SUM(D47:D49)</f>
        <v>43374.458742657684</v>
      </c>
      <c r="E50" s="230">
        <f ca="1">E46-SUM(E47:E49)</f>
        <v>-37363.517361509155</v>
      </c>
      <c r="F50" s="231">
        <f ca="1">F46-SUM(F47:F49)</f>
        <v>-40891.5871637905</v>
      </c>
      <c r="G50" s="299"/>
    </row>
    <row r="51" spans="1:7" ht="15.65" thickBot="1">
      <c r="A51" s="427"/>
      <c r="B51" s="444"/>
      <c r="C51" s="444"/>
      <c r="D51" s="439"/>
      <c r="E51" s="439"/>
      <c r="F51" s="439"/>
      <c r="G51" s="299"/>
    </row>
    <row r="52" spans="1:7" ht="15.65" thickBot="1">
      <c r="A52" s="427"/>
      <c r="B52" s="232" t="s">
        <v>252</v>
      </c>
      <c r="C52" s="71">
        <f>'1. DONNEES DE BASE'!$B$1-2</f>
        <v>2024</v>
      </c>
      <c r="D52" s="71">
        <f>C52+1</f>
        <v>2025</v>
      </c>
      <c r="E52" s="71">
        <f t="shared" ref="E52:F52" si="4">D52+1</f>
        <v>2026</v>
      </c>
      <c r="F52" s="71">
        <f t="shared" si="4"/>
        <v>2027</v>
      </c>
      <c r="G52" s="299"/>
    </row>
    <row r="53" spans="1:7" ht="15.05">
      <c r="A53" s="427"/>
      <c r="B53" s="233" t="s">
        <v>253</v>
      </c>
      <c r="C53" s="201">
        <f ca="1">IFERROR((C35/(1-(C14+C13)/C12)),0)</f>
        <v>73855.960206144766</v>
      </c>
      <c r="D53" s="201">
        <f ca="1">IFERROR((D35/(1-(D14+D13)/D12)),0)</f>
        <v>70611.554696114457</v>
      </c>
      <c r="E53" s="202">
        <f ca="1">IFERROR((E35/(1-(E14+E13)/E12)),0)</f>
        <v>148815.49011687902</v>
      </c>
      <c r="F53" s="203">
        <f ca="1">IFERROR((F35/(1-(F14+F13)/F12)),0)</f>
        <v>134076.88138278617</v>
      </c>
      <c r="G53" s="299"/>
    </row>
    <row r="54" spans="1:7" ht="15.65" thickBot="1">
      <c r="A54" s="427"/>
      <c r="B54" s="234" t="s">
        <v>254</v>
      </c>
      <c r="C54" s="235">
        <f ca="1">C53/12</f>
        <v>6154.6633505120635</v>
      </c>
      <c r="D54" s="235">
        <f ca="1">D53/12</f>
        <v>5884.2962246762045</v>
      </c>
      <c r="E54" s="236">
        <f ca="1">E53/12</f>
        <v>12401.290843073251</v>
      </c>
      <c r="F54" s="237">
        <f ca="1">F53/12</f>
        <v>11173.073448565514</v>
      </c>
      <c r="G54" s="299"/>
    </row>
    <row r="55" spans="1:7">
      <c r="A55" s="427"/>
      <c r="B55" s="299"/>
      <c r="C55" s="299"/>
      <c r="D55" s="299"/>
      <c r="E55" s="299"/>
      <c r="F55" s="299"/>
      <c r="G55" s="299"/>
    </row>
    <row r="56" spans="1:7">
      <c r="A56" s="427"/>
      <c r="B56" s="299"/>
      <c r="C56" s="299"/>
      <c r="D56" s="299"/>
      <c r="E56" s="299"/>
      <c r="F56" s="299"/>
      <c r="G56" s="299"/>
    </row>
    <row r="57" spans="1:7" ht="18.5" customHeight="1" outlineLevel="1" thickBot="1">
      <c r="A57" s="427"/>
      <c r="B57" s="299"/>
      <c r="C57" s="299"/>
      <c r="D57" s="299"/>
      <c r="E57" s="299"/>
      <c r="F57" s="299"/>
      <c r="G57" s="299"/>
    </row>
    <row r="58" spans="1:7" ht="20.2" customHeight="1" outlineLevel="1" thickBot="1">
      <c r="A58" s="427"/>
      <c r="B58" s="852" t="s">
        <v>351</v>
      </c>
      <c r="C58" s="853"/>
      <c r="D58" s="853"/>
      <c r="E58" s="853"/>
      <c r="F58" s="854"/>
      <c r="G58" s="299"/>
    </row>
    <row r="59" spans="1:7" ht="20.2" customHeight="1" outlineLevel="1" thickBot="1">
      <c r="A59" s="427"/>
      <c r="B59" s="299"/>
      <c r="C59" s="299"/>
      <c r="D59" s="299"/>
      <c r="E59" s="299"/>
      <c r="F59" s="299"/>
      <c r="G59" s="299"/>
    </row>
    <row r="60" spans="1:7" ht="20.2" customHeight="1" outlineLevel="1" thickBot="1">
      <c r="A60" s="427"/>
      <c r="B60" s="232"/>
      <c r="C60" s="71">
        <f>'1. DONNEES DE BASE'!$B$1-2</f>
        <v>2024</v>
      </c>
      <c r="D60" s="71">
        <f>C60+1</f>
        <v>2025</v>
      </c>
      <c r="E60" s="71">
        <f t="shared" ref="E60:F60" si="5">D60+1</f>
        <v>2026</v>
      </c>
      <c r="F60" s="71">
        <f t="shared" si="5"/>
        <v>2027</v>
      </c>
      <c r="G60" s="299"/>
    </row>
    <row r="61" spans="1:7" ht="20.2" customHeight="1" outlineLevel="1" thickBot="1">
      <c r="A61" s="427"/>
      <c r="B61" s="453" t="s">
        <v>345</v>
      </c>
      <c r="C61" s="238">
        <f ca="1">C50</f>
        <v>14371.454674373346</v>
      </c>
      <c r="D61" s="238">
        <f ca="1">D50</f>
        <v>43374.458742657684</v>
      </c>
      <c r="E61" s="238">
        <f ca="1">E50</f>
        <v>-37363.517361509155</v>
      </c>
      <c r="F61" s="238">
        <f ca="1">F50</f>
        <v>-40891.5871637905</v>
      </c>
      <c r="G61" s="299"/>
    </row>
    <row r="62" spans="1:7" ht="20.2" customHeight="1" outlineLevel="1" thickBot="1">
      <c r="A62" s="427"/>
      <c r="B62" s="453" t="s">
        <v>346</v>
      </c>
      <c r="C62" s="454">
        <v>10000</v>
      </c>
      <c r="D62" s="454">
        <v>27000</v>
      </c>
      <c r="E62" s="454">
        <v>0</v>
      </c>
      <c r="F62" s="454">
        <v>0</v>
      </c>
      <c r="G62" s="299"/>
    </row>
    <row r="63" spans="1:7" ht="20.2" customHeight="1" outlineLevel="1" thickBot="1">
      <c r="A63" s="427"/>
      <c r="B63" s="455" t="s">
        <v>347</v>
      </c>
      <c r="C63" s="238">
        <f>'14. CALCUL IMPOT'!B15</f>
        <v>3628.0366261999998</v>
      </c>
      <c r="D63" s="238">
        <f>'14. CALCUL IMPOT'!C15</f>
        <v>5759.1674999999996</v>
      </c>
      <c r="E63" s="238">
        <f>'14. CALCUL IMPOT'!D15</f>
        <v>3628.0366261999998</v>
      </c>
      <c r="F63" s="238">
        <f>'14. CALCUL IMPOT'!E15</f>
        <v>3628.0366261999998</v>
      </c>
      <c r="G63" s="299"/>
    </row>
    <row r="64" spans="1:7" ht="20.2" customHeight="1" outlineLevel="1" thickBot="1">
      <c r="A64" s="427"/>
      <c r="B64" s="455" t="s">
        <v>348</v>
      </c>
      <c r="C64" s="238">
        <f>C62-C63</f>
        <v>6371.9633738000002</v>
      </c>
      <c r="D64" s="238">
        <f>D62-D63</f>
        <v>21240.8325</v>
      </c>
      <c r="E64" s="238">
        <f>E62-E63</f>
        <v>-3628.0366261999998</v>
      </c>
      <c r="F64" s="238">
        <f>F62-F63</f>
        <v>-3628.0366261999998</v>
      </c>
      <c r="G64" s="299"/>
    </row>
    <row r="65" spans="1:7" ht="20.2" customHeight="1" outlineLevel="1" thickBot="1">
      <c r="A65" s="427"/>
      <c r="B65" s="455" t="s">
        <v>349</v>
      </c>
      <c r="C65" s="238" cm="1">
        <f t="array" ref="C65:F65">'14. CALCUL IMPOT'!B42:E42</f>
        <v>0</v>
      </c>
      <c r="D65" s="238">
        <v>5688.3330000000005</v>
      </c>
      <c r="E65" s="238">
        <v>0</v>
      </c>
      <c r="F65" s="238">
        <v>0</v>
      </c>
      <c r="G65" s="299"/>
    </row>
    <row r="66" spans="1:7" ht="8.4499999999999993" customHeight="1" outlineLevel="1" thickBot="1">
      <c r="A66" s="427"/>
      <c r="B66" s="455"/>
      <c r="C66" s="239"/>
      <c r="D66" s="239"/>
      <c r="E66" s="239"/>
      <c r="F66" s="239"/>
      <c r="G66" s="299"/>
    </row>
    <row r="67" spans="1:7" ht="15.05" outlineLevel="1">
      <c r="A67" s="427"/>
      <c r="B67" s="453" t="s">
        <v>350</v>
      </c>
      <c r="C67" s="215">
        <f>IF((C64-C65)/12&lt;=0,0,(C64-C65)/12)</f>
        <v>530.99694781666665</v>
      </c>
      <c r="D67" s="215">
        <f>IF((D64-D65)/12&lt;=0,0,(D64-D65)/12)</f>
        <v>1296.0416250000001</v>
      </c>
      <c r="E67" s="215">
        <f>IF((E64-E65)/12&lt;=0,0,(E64-E65)/12)</f>
        <v>0</v>
      </c>
      <c r="F67" s="215">
        <f>IF((F64-F65)/12&lt;=0,0,(F64-F65)/12)</f>
        <v>0</v>
      </c>
      <c r="G67" s="299"/>
    </row>
    <row r="68" spans="1:7" ht="15.05" outlineLevel="1">
      <c r="A68" s="427"/>
      <c r="B68" s="455" t="s">
        <v>546</v>
      </c>
      <c r="C68" s="456">
        <f>E68</f>
        <v>1.05</v>
      </c>
      <c r="D68" s="457">
        <f>E68</f>
        <v>1.05</v>
      </c>
      <c r="E68" s="240">
        <f>'10. BESOIN RH mensuel'!D4+'10. BESOIN RH mensuel'!D5</f>
        <v>1.05</v>
      </c>
      <c r="F68" s="458">
        <f>E68</f>
        <v>1.05</v>
      </c>
      <c r="G68" s="299"/>
    </row>
    <row r="69" spans="1:7" ht="15.05" outlineLevel="1">
      <c r="A69" s="427"/>
      <c r="B69" s="299" t="s">
        <v>550</v>
      </c>
      <c r="C69" s="241">
        <f t="shared" ref="C69:F69" si="6">C62/($C$78*C68)</f>
        <v>5.2213868003341686</v>
      </c>
      <c r="D69" s="241">
        <f t="shared" si="6"/>
        <v>14.097744360902256</v>
      </c>
      <c r="E69" s="241">
        <f>E62/($C$78*E68)</f>
        <v>0</v>
      </c>
      <c r="F69" s="241">
        <f t="shared" si="6"/>
        <v>0</v>
      </c>
      <c r="G69" s="299"/>
    </row>
    <row r="70" spans="1:7" ht="15.05" outlineLevel="1">
      <c r="A70" s="427"/>
      <c r="B70" s="299" t="s">
        <v>551</v>
      </c>
      <c r="C70" s="241">
        <f t="shared" ref="C70:D70" ca="1" si="7">IF(C61&lt;0,0,C61/(C68*$C$78))</f>
        <v>7.5038923738373775</v>
      </c>
      <c r="D70" s="241">
        <f t="shared" ca="1" si="7"/>
        <v>22.64748263505518</v>
      </c>
      <c r="E70" s="241">
        <f ca="1">IF(E61&lt;0,0,E61/(E68*$C$78))</f>
        <v>0</v>
      </c>
      <c r="F70" s="241">
        <f t="shared" ref="F70" ca="1" si="8">IF(F61&lt;0,0,F61/(F68*$C$78))</f>
        <v>0</v>
      </c>
      <c r="G70" s="299"/>
    </row>
    <row r="71" spans="1:7" ht="15.65" outlineLevel="1" thickBot="1">
      <c r="A71" s="427"/>
      <c r="B71" s="242" t="s">
        <v>255</v>
      </c>
      <c r="C71" s="243">
        <f ca="1">C61-C62</f>
        <v>4371.4546743733463</v>
      </c>
      <c r="D71" s="243">
        <f ca="1">D61-D62</f>
        <v>16374.458742657684</v>
      </c>
      <c r="E71" s="243">
        <f ca="1">E61-E62</f>
        <v>-37363.517361509155</v>
      </c>
      <c r="F71" s="243">
        <f ca="1">F61-F62</f>
        <v>-40891.5871637905</v>
      </c>
      <c r="G71" s="299"/>
    </row>
    <row r="72" spans="1:7" ht="15.05" outlineLevel="1">
      <c r="A72" s="427"/>
      <c r="B72" s="444"/>
      <c r="C72" s="444"/>
      <c r="D72" s="459"/>
      <c r="E72" s="459"/>
      <c r="F72" s="459"/>
      <c r="G72" s="299"/>
    </row>
    <row r="73" spans="1:7" ht="15.65" thickBot="1">
      <c r="A73" s="427"/>
      <c r="B73" s="444"/>
      <c r="C73" s="444"/>
      <c r="D73" s="459"/>
      <c r="E73" s="459"/>
      <c r="F73" s="459"/>
      <c r="G73" s="299"/>
    </row>
    <row r="74" spans="1:7" ht="21.95" thickBot="1">
      <c r="A74" s="427"/>
      <c r="B74" s="852" t="s">
        <v>552</v>
      </c>
      <c r="C74" s="853"/>
      <c r="D74" s="853"/>
      <c r="E74" s="853"/>
      <c r="F74" s="854"/>
      <c r="G74" s="299"/>
    </row>
    <row r="75" spans="1:7" ht="21.3">
      <c r="A75" s="427"/>
      <c r="B75" s="460"/>
      <c r="C75" s="461"/>
      <c r="D75" s="461"/>
      <c r="E75" s="461"/>
      <c r="F75" s="461"/>
      <c r="G75" s="299"/>
    </row>
    <row r="76" spans="1:7" ht="15.85" customHeight="1" outlineLevel="1">
      <c r="A76" s="427"/>
      <c r="B76" s="462" t="s">
        <v>548</v>
      </c>
      <c r="C76" s="313">
        <v>48</v>
      </c>
      <c r="D76" s="463"/>
      <c r="E76" s="463"/>
      <c r="F76" s="463"/>
      <c r="G76" s="299"/>
    </row>
    <row r="77" spans="1:7" ht="23.95" customHeight="1" outlineLevel="1">
      <c r="A77" s="427"/>
      <c r="B77" s="462" t="s">
        <v>547</v>
      </c>
      <c r="C77" s="313">
        <v>38</v>
      </c>
      <c r="D77" s="463"/>
      <c r="E77" s="463"/>
      <c r="F77" s="463"/>
      <c r="G77" s="299"/>
    </row>
    <row r="78" spans="1:7" ht="23.5" customHeight="1" outlineLevel="1">
      <c r="A78" s="427"/>
      <c r="B78" s="462" t="s">
        <v>549</v>
      </c>
      <c r="C78" s="244">
        <f>C76*C77</f>
        <v>1824</v>
      </c>
      <c r="D78" s="463"/>
      <c r="E78" s="463"/>
      <c r="F78" s="463"/>
      <c r="G78" s="299"/>
    </row>
    <row r="79" spans="1:7" outlineLevel="1">
      <c r="D79" s="34"/>
      <c r="E79" s="34"/>
      <c r="F79" s="34"/>
      <c r="G79" s="57"/>
    </row>
    <row r="80" spans="1:7" outlineLevel="1">
      <c r="D80" s="34"/>
      <c r="E80" s="34"/>
      <c r="F80" s="34"/>
    </row>
    <row r="81" spans="2:6" ht="20.2" customHeight="1" outlineLevel="1">
      <c r="D81" s="34"/>
      <c r="E81" s="34"/>
      <c r="F81" s="34"/>
    </row>
    <row r="82" spans="2:6" ht="20.2" customHeight="1" outlineLevel="1">
      <c r="D82" s="34"/>
      <c r="E82" s="34"/>
      <c r="F82" s="34"/>
    </row>
    <row r="83" spans="2:6" outlineLevel="1">
      <c r="D83" s="34"/>
      <c r="E83" s="34"/>
      <c r="F83" s="34"/>
    </row>
    <row r="84" spans="2:6" outlineLevel="1">
      <c r="D84" s="34"/>
      <c r="E84" s="34"/>
      <c r="F84" s="34"/>
    </row>
    <row r="85" spans="2:6">
      <c r="D85" s="34"/>
      <c r="E85" s="34"/>
      <c r="F85" s="34"/>
    </row>
    <row r="86" spans="2:6" ht="15.05">
      <c r="B86" s="245"/>
      <c r="C86" s="245"/>
      <c r="D86" s="208"/>
      <c r="E86" s="208"/>
      <c r="F86" s="208"/>
    </row>
    <row r="87" spans="2:6">
      <c r="D87" s="34"/>
      <c r="E87" s="34"/>
      <c r="F87" s="34"/>
    </row>
    <row r="88" spans="2:6">
      <c r="D88" s="34"/>
      <c r="E88" s="34"/>
      <c r="F88" s="34"/>
    </row>
    <row r="89" spans="2:6">
      <c r="D89" s="34"/>
      <c r="E89" s="34"/>
      <c r="F89" s="34"/>
    </row>
    <row r="90" spans="2:6">
      <c r="D90" s="34"/>
      <c r="E90" s="34"/>
      <c r="F90" s="34"/>
    </row>
  </sheetData>
  <sheetProtection algorithmName="SHA-512" hashValue="ZW3Y5RgnyrnzmP4tTNXH4C0lDUM3a6B+Q2Molss/fNPTVVLV2HtnUjl1wV3BQR3Aq1DwNcswiPkukvNVmBxtlQ==" saltValue="bbVk2/5sJdg6IESGYKh0nw==" spinCount="100000" sheet="1" objects="1" scenarios="1" sort="0" autoFilter="0"/>
  <protectedRanges>
    <protectedRange sqref="C62:F62 B17:F20 C41:F41 C47:F49 C13:F13" name="Plage1"/>
  </protectedRanges>
  <mergeCells count="3">
    <mergeCell ref="B58:F58"/>
    <mergeCell ref="B2:G6"/>
    <mergeCell ref="B74:F74"/>
  </mergeCells>
  <phoneticPr fontId="26" type="noConversion"/>
  <conditionalFormatting sqref="C43:F43">
    <cfRule type="cellIs" dxfId="2" priority="1" operator="between">
      <formula>-2000</formula>
      <formula>2000</formula>
    </cfRule>
    <cfRule type="cellIs" dxfId="1" priority="2" operator="greaterThan">
      <formula>2000</formula>
    </cfRule>
    <cfRule type="cellIs" dxfId="0" priority="3" operator="lessThan">
      <formula>-2000</formula>
    </cfRule>
  </conditionalFormatting>
  <pageMargins left="0.23622047244094491" right="0.23622047244094491" top="0.74803149606299213" bottom="0.74803149606299213" header="0.31496062992125984" footer="0.31496062992125984"/>
  <pageSetup paperSize="9" scale="51" orientation="portrait" r:id="rId1"/>
  <headerFooter>
    <oddFooter>&amp;L&amp;D&amp;C&amp;G&amp;RPlan financier Crédal - Dossier confidentiel</oddFooter>
  </headerFooter>
  <rowBreaks count="1" manualBreakCount="1">
    <brk id="53" max="4" man="1"/>
  </rowBreaks>
  <colBreaks count="1" manualBreakCount="1">
    <brk id="6" max="1048575" man="1"/>
  </colBreaks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F6AD3-AFE6-4DA0-B4F4-A4D63E9175DB}">
  <dimension ref="A1:E64"/>
  <sheetViews>
    <sheetView workbookViewId="0">
      <selection activeCell="G13" sqref="G13"/>
    </sheetView>
  </sheetViews>
  <sheetFormatPr baseColWidth="10" defaultRowHeight="15.05"/>
  <cols>
    <col min="1" max="2" width="19.5546875" customWidth="1"/>
    <col min="3" max="3" width="19.44140625" customWidth="1"/>
    <col min="4" max="4" width="24.88671875" customWidth="1"/>
    <col min="5" max="5" width="29.5546875" customWidth="1"/>
  </cols>
  <sheetData>
    <row r="1" spans="1:5">
      <c r="A1" s="464" t="s">
        <v>389</v>
      </c>
      <c r="B1" s="465"/>
      <c r="C1" s="465"/>
      <c r="D1" s="465"/>
      <c r="E1" s="466"/>
    </row>
    <row r="2" spans="1:5" ht="15.65" thickBot="1">
      <c r="A2" s="467" t="s">
        <v>390</v>
      </c>
      <c r="B2" s="468"/>
      <c r="C2" s="468"/>
      <c r="D2" s="468"/>
      <c r="E2" s="469"/>
    </row>
    <row r="3" spans="1:5">
      <c r="A3" s="470"/>
      <c r="B3" s="297"/>
      <c r="C3" s="297"/>
      <c r="D3" s="297"/>
      <c r="E3" s="297"/>
    </row>
    <row r="4" spans="1:5">
      <c r="A4" s="471" t="s">
        <v>4</v>
      </c>
      <c r="B4" s="472" t="s">
        <v>534</v>
      </c>
      <c r="C4" s="473" t="s">
        <v>5</v>
      </c>
      <c r="D4" s="474" t="s">
        <v>6</v>
      </c>
      <c r="E4" s="474" t="s">
        <v>395</v>
      </c>
    </row>
    <row r="5" spans="1:5">
      <c r="A5" s="475" t="s">
        <v>15</v>
      </c>
      <c r="B5" s="476" t="s">
        <v>535</v>
      </c>
      <c r="C5" s="477" t="s">
        <v>537</v>
      </c>
      <c r="D5" s="478" t="s">
        <v>397</v>
      </c>
      <c r="E5" s="479">
        <v>6</v>
      </c>
    </row>
    <row r="6" spans="1:5">
      <c r="A6" s="475" t="s">
        <v>16</v>
      </c>
      <c r="B6" s="476" t="s">
        <v>535</v>
      </c>
      <c r="C6" s="477" t="s">
        <v>18</v>
      </c>
      <c r="D6" s="478" t="s">
        <v>396</v>
      </c>
      <c r="E6" s="479">
        <v>1.89</v>
      </c>
    </row>
    <row r="7" spans="1:5">
      <c r="A7" s="475" t="s">
        <v>394</v>
      </c>
      <c r="B7" s="476" t="s">
        <v>535</v>
      </c>
      <c r="C7" s="477" t="s">
        <v>392</v>
      </c>
      <c r="D7" s="478" t="s">
        <v>399</v>
      </c>
      <c r="E7" s="479">
        <v>23.25</v>
      </c>
    </row>
    <row r="8" spans="1:5">
      <c r="A8" s="475" t="s">
        <v>17</v>
      </c>
      <c r="B8" s="476" t="s">
        <v>535</v>
      </c>
      <c r="C8" s="477" t="s">
        <v>392</v>
      </c>
      <c r="D8" s="478" t="s">
        <v>398</v>
      </c>
      <c r="E8" s="479">
        <v>17.649999999999999</v>
      </c>
    </row>
    <row r="9" spans="1:5">
      <c r="A9" s="475" t="s">
        <v>393</v>
      </c>
      <c r="B9" s="476" t="s">
        <v>535</v>
      </c>
      <c r="C9" s="477" t="s">
        <v>392</v>
      </c>
      <c r="D9" s="478" t="s">
        <v>400</v>
      </c>
      <c r="E9" s="479">
        <v>4.32</v>
      </c>
    </row>
    <row r="10" spans="1:5">
      <c r="A10" s="475" t="s">
        <v>391</v>
      </c>
      <c r="B10" s="476" t="s">
        <v>535</v>
      </c>
      <c r="C10" s="477" t="s">
        <v>392</v>
      </c>
      <c r="D10" s="478" t="s">
        <v>399</v>
      </c>
      <c r="E10" s="479">
        <v>6.25</v>
      </c>
    </row>
    <row r="11" spans="1:5">
      <c r="A11" s="480" t="s">
        <v>14</v>
      </c>
      <c r="B11" s="481" t="s">
        <v>536</v>
      </c>
      <c r="C11" s="477" t="str">
        <f t="shared" ref="C11:C64" si="0">IF(B11="Oui","Auto","")</f>
        <v>Auto</v>
      </c>
      <c r="D11" s="482" t="s">
        <v>397</v>
      </c>
      <c r="E11" s="483">
        <v>3.5</v>
      </c>
    </row>
    <row r="12" spans="1:5">
      <c r="A12" s="475"/>
      <c r="B12" s="476" t="s">
        <v>536</v>
      </c>
      <c r="C12" s="477" t="str">
        <f t="shared" si="0"/>
        <v>Auto</v>
      </c>
      <c r="D12" s="478"/>
      <c r="E12" s="479"/>
    </row>
    <row r="13" spans="1:5">
      <c r="A13" s="475"/>
      <c r="B13" s="476" t="s">
        <v>535</v>
      </c>
      <c r="C13" s="477"/>
      <c r="D13" s="478"/>
      <c r="E13" s="479"/>
    </row>
    <row r="14" spans="1:5">
      <c r="A14" s="475"/>
      <c r="B14" s="476" t="s">
        <v>535</v>
      </c>
      <c r="C14" s="477" t="str">
        <f t="shared" si="0"/>
        <v/>
      </c>
      <c r="D14" s="478"/>
      <c r="E14" s="479"/>
    </row>
    <row r="15" spans="1:5">
      <c r="A15" s="475"/>
      <c r="B15" s="476" t="s">
        <v>535</v>
      </c>
      <c r="C15" s="477" t="str">
        <f t="shared" si="0"/>
        <v/>
      </c>
      <c r="D15" s="478"/>
      <c r="E15" s="479"/>
    </row>
    <row r="16" spans="1:5">
      <c r="A16" s="475"/>
      <c r="B16" s="476" t="s">
        <v>535</v>
      </c>
      <c r="C16" s="477" t="str">
        <f t="shared" si="0"/>
        <v/>
      </c>
      <c r="D16" s="478"/>
      <c r="E16" s="479"/>
    </row>
    <row r="17" spans="1:5">
      <c r="A17" s="480"/>
      <c r="B17" s="481" t="s">
        <v>535</v>
      </c>
      <c r="C17" s="477" t="str">
        <f t="shared" si="0"/>
        <v/>
      </c>
      <c r="D17" s="482"/>
      <c r="E17" s="483"/>
    </row>
    <row r="18" spans="1:5">
      <c r="A18" s="475"/>
      <c r="B18" s="476" t="s">
        <v>535</v>
      </c>
      <c r="C18" s="477" t="str">
        <f t="shared" si="0"/>
        <v/>
      </c>
      <c r="D18" s="478"/>
      <c r="E18" s="479"/>
    </row>
    <row r="19" spans="1:5">
      <c r="A19" s="475"/>
      <c r="B19" s="476" t="s">
        <v>535</v>
      </c>
      <c r="C19" s="477" t="str">
        <f t="shared" si="0"/>
        <v/>
      </c>
      <c r="D19" s="478"/>
      <c r="E19" s="479"/>
    </row>
    <row r="20" spans="1:5">
      <c r="A20" s="475"/>
      <c r="B20" s="476" t="s">
        <v>535</v>
      </c>
      <c r="C20" s="477" t="str">
        <f t="shared" si="0"/>
        <v/>
      </c>
      <c r="D20" s="478"/>
      <c r="E20" s="479"/>
    </row>
    <row r="21" spans="1:5">
      <c r="A21" s="475"/>
      <c r="B21" s="476" t="s">
        <v>535</v>
      </c>
      <c r="C21" s="477" t="str">
        <f t="shared" si="0"/>
        <v/>
      </c>
      <c r="D21" s="478"/>
      <c r="E21" s="479"/>
    </row>
    <row r="22" spans="1:5">
      <c r="A22" s="475"/>
      <c r="B22" s="481" t="s">
        <v>535</v>
      </c>
      <c r="C22" s="477" t="str">
        <f t="shared" si="0"/>
        <v/>
      </c>
      <c r="D22" s="478"/>
      <c r="E22" s="479"/>
    </row>
    <row r="23" spans="1:5">
      <c r="A23" s="475"/>
      <c r="B23" s="476" t="s">
        <v>535</v>
      </c>
      <c r="C23" s="477" t="str">
        <f t="shared" si="0"/>
        <v/>
      </c>
      <c r="D23" s="478"/>
      <c r="E23" s="479"/>
    </row>
    <row r="24" spans="1:5">
      <c r="A24" s="475"/>
      <c r="B24" s="476" t="s">
        <v>535</v>
      </c>
      <c r="C24" s="477" t="str">
        <f t="shared" si="0"/>
        <v/>
      </c>
      <c r="D24" s="478"/>
      <c r="E24" s="479"/>
    </row>
    <row r="25" spans="1:5">
      <c r="A25" s="475"/>
      <c r="B25" s="476" t="s">
        <v>535</v>
      </c>
      <c r="C25" s="477" t="str">
        <f t="shared" si="0"/>
        <v/>
      </c>
      <c r="D25" s="478"/>
      <c r="E25" s="479"/>
    </row>
    <row r="26" spans="1:5">
      <c r="A26" s="475"/>
      <c r="B26" s="476" t="s">
        <v>535</v>
      </c>
      <c r="C26" s="477" t="str">
        <f t="shared" si="0"/>
        <v/>
      </c>
      <c r="D26" s="478"/>
      <c r="E26" s="479"/>
    </row>
    <row r="27" spans="1:5">
      <c r="A27" s="475"/>
      <c r="B27" s="481" t="s">
        <v>535</v>
      </c>
      <c r="C27" s="477" t="str">
        <f t="shared" si="0"/>
        <v/>
      </c>
      <c r="D27" s="478"/>
      <c r="E27" s="479"/>
    </row>
    <row r="28" spans="1:5">
      <c r="A28" s="475"/>
      <c r="B28" s="476" t="s">
        <v>535</v>
      </c>
      <c r="C28" s="477" t="str">
        <f t="shared" si="0"/>
        <v/>
      </c>
      <c r="D28" s="478"/>
      <c r="E28" s="479"/>
    </row>
    <row r="29" spans="1:5">
      <c r="A29" s="475"/>
      <c r="B29" s="476" t="s">
        <v>535</v>
      </c>
      <c r="C29" s="477" t="str">
        <f t="shared" si="0"/>
        <v/>
      </c>
      <c r="D29" s="478"/>
      <c r="E29" s="479"/>
    </row>
    <row r="30" spans="1:5">
      <c r="A30" s="475"/>
      <c r="B30" s="476" t="s">
        <v>535</v>
      </c>
      <c r="C30" s="477" t="str">
        <f t="shared" si="0"/>
        <v/>
      </c>
      <c r="D30" s="478"/>
      <c r="E30" s="479"/>
    </row>
    <row r="31" spans="1:5">
      <c r="A31" s="475"/>
      <c r="B31" s="476" t="s">
        <v>535</v>
      </c>
      <c r="C31" s="477" t="str">
        <f t="shared" si="0"/>
        <v/>
      </c>
      <c r="D31" s="478"/>
      <c r="E31" s="479"/>
    </row>
    <row r="32" spans="1:5">
      <c r="A32" s="475"/>
      <c r="B32" s="481" t="s">
        <v>535</v>
      </c>
      <c r="C32" s="477" t="str">
        <f t="shared" si="0"/>
        <v/>
      </c>
      <c r="D32" s="478"/>
      <c r="E32" s="479"/>
    </row>
    <row r="33" spans="1:5">
      <c r="A33" s="475"/>
      <c r="B33" s="476" t="s">
        <v>535</v>
      </c>
      <c r="C33" s="477" t="str">
        <f t="shared" si="0"/>
        <v/>
      </c>
      <c r="D33" s="478"/>
      <c r="E33" s="479"/>
    </row>
    <row r="34" spans="1:5">
      <c r="A34" s="475"/>
      <c r="B34" s="476" t="s">
        <v>535</v>
      </c>
      <c r="C34" s="477" t="str">
        <f t="shared" si="0"/>
        <v/>
      </c>
      <c r="D34" s="478"/>
      <c r="E34" s="479"/>
    </row>
    <row r="35" spans="1:5">
      <c r="A35" s="475"/>
      <c r="B35" s="476" t="s">
        <v>535</v>
      </c>
      <c r="C35" s="477" t="str">
        <f t="shared" si="0"/>
        <v/>
      </c>
      <c r="D35" s="478"/>
      <c r="E35" s="479"/>
    </row>
    <row r="36" spans="1:5">
      <c r="A36" s="475"/>
      <c r="B36" s="476" t="s">
        <v>535</v>
      </c>
      <c r="C36" s="477" t="str">
        <f t="shared" si="0"/>
        <v/>
      </c>
      <c r="D36" s="478"/>
      <c r="E36" s="479"/>
    </row>
    <row r="37" spans="1:5">
      <c r="A37" s="475"/>
      <c r="B37" s="481" t="s">
        <v>535</v>
      </c>
      <c r="C37" s="477" t="str">
        <f t="shared" si="0"/>
        <v/>
      </c>
      <c r="D37" s="478"/>
      <c r="E37" s="479"/>
    </row>
    <row r="38" spans="1:5">
      <c r="A38" s="475"/>
      <c r="B38" s="476" t="s">
        <v>535</v>
      </c>
      <c r="C38" s="477" t="str">
        <f t="shared" si="0"/>
        <v/>
      </c>
      <c r="D38" s="478"/>
      <c r="E38" s="479"/>
    </row>
    <row r="39" spans="1:5">
      <c r="A39" s="475"/>
      <c r="B39" s="476" t="s">
        <v>535</v>
      </c>
      <c r="C39" s="477" t="str">
        <f t="shared" si="0"/>
        <v/>
      </c>
      <c r="D39" s="478"/>
      <c r="E39" s="479"/>
    </row>
    <row r="40" spans="1:5">
      <c r="A40" s="475"/>
      <c r="B40" s="476" t="s">
        <v>535</v>
      </c>
      <c r="C40" s="477" t="str">
        <f t="shared" si="0"/>
        <v/>
      </c>
      <c r="D40" s="478"/>
      <c r="E40" s="479"/>
    </row>
    <row r="41" spans="1:5">
      <c r="A41" s="475"/>
      <c r="B41" s="476" t="s">
        <v>535</v>
      </c>
      <c r="C41" s="477" t="str">
        <f t="shared" si="0"/>
        <v/>
      </c>
      <c r="D41" s="478"/>
      <c r="E41" s="479"/>
    </row>
    <row r="42" spans="1:5">
      <c r="A42" s="475"/>
      <c r="B42" s="481" t="s">
        <v>535</v>
      </c>
      <c r="C42" s="477" t="str">
        <f t="shared" si="0"/>
        <v/>
      </c>
      <c r="D42" s="478"/>
      <c r="E42" s="479"/>
    </row>
    <row r="43" spans="1:5">
      <c r="A43" s="475"/>
      <c r="B43" s="476" t="s">
        <v>535</v>
      </c>
      <c r="C43" s="477" t="str">
        <f t="shared" si="0"/>
        <v/>
      </c>
      <c r="D43" s="478"/>
      <c r="E43" s="479"/>
    </row>
    <row r="44" spans="1:5">
      <c r="A44" s="475"/>
      <c r="B44" s="476" t="s">
        <v>535</v>
      </c>
      <c r="C44" s="477" t="str">
        <f t="shared" si="0"/>
        <v/>
      </c>
      <c r="D44" s="478"/>
      <c r="E44" s="479"/>
    </row>
    <row r="45" spans="1:5">
      <c r="A45" s="475"/>
      <c r="B45" s="476" t="s">
        <v>535</v>
      </c>
      <c r="C45" s="477" t="str">
        <f t="shared" si="0"/>
        <v/>
      </c>
      <c r="D45" s="478"/>
      <c r="E45" s="479"/>
    </row>
    <row r="46" spans="1:5">
      <c r="A46" s="475"/>
      <c r="B46" s="476" t="s">
        <v>535</v>
      </c>
      <c r="C46" s="477" t="str">
        <f t="shared" si="0"/>
        <v/>
      </c>
      <c r="D46" s="478"/>
      <c r="E46" s="479"/>
    </row>
    <row r="47" spans="1:5">
      <c r="A47" s="475"/>
      <c r="B47" s="481" t="s">
        <v>535</v>
      </c>
      <c r="C47" s="477" t="str">
        <f t="shared" si="0"/>
        <v/>
      </c>
      <c r="D47" s="478"/>
      <c r="E47" s="479"/>
    </row>
    <row r="48" spans="1:5">
      <c r="A48" s="475"/>
      <c r="B48" s="476" t="s">
        <v>535</v>
      </c>
      <c r="C48" s="477" t="str">
        <f t="shared" si="0"/>
        <v/>
      </c>
      <c r="D48" s="478"/>
      <c r="E48" s="479"/>
    </row>
    <row r="49" spans="1:5">
      <c r="A49" s="475"/>
      <c r="B49" s="476" t="s">
        <v>535</v>
      </c>
      <c r="C49" s="477" t="str">
        <f t="shared" si="0"/>
        <v/>
      </c>
      <c r="D49" s="478"/>
      <c r="E49" s="479"/>
    </row>
    <row r="50" spans="1:5">
      <c r="A50" s="475"/>
      <c r="B50" s="476" t="s">
        <v>535</v>
      </c>
      <c r="C50" s="477" t="str">
        <f t="shared" si="0"/>
        <v/>
      </c>
      <c r="D50" s="478"/>
      <c r="E50" s="479"/>
    </row>
    <row r="51" spans="1:5">
      <c r="A51" s="475"/>
      <c r="B51" s="476" t="s">
        <v>535</v>
      </c>
      <c r="C51" s="477" t="str">
        <f t="shared" si="0"/>
        <v/>
      </c>
      <c r="D51" s="478"/>
      <c r="E51" s="479"/>
    </row>
    <row r="52" spans="1:5">
      <c r="A52" s="475"/>
      <c r="B52" s="481" t="s">
        <v>535</v>
      </c>
      <c r="C52" s="477" t="str">
        <f t="shared" si="0"/>
        <v/>
      </c>
      <c r="D52" s="478"/>
      <c r="E52" s="479"/>
    </row>
    <row r="53" spans="1:5">
      <c r="A53" s="475"/>
      <c r="B53" s="476" t="s">
        <v>535</v>
      </c>
      <c r="C53" s="477" t="str">
        <f t="shared" si="0"/>
        <v/>
      </c>
      <c r="D53" s="478"/>
      <c r="E53" s="479"/>
    </row>
    <row r="54" spans="1:5">
      <c r="A54" s="475"/>
      <c r="B54" s="476" t="s">
        <v>535</v>
      </c>
      <c r="C54" s="477" t="str">
        <f t="shared" si="0"/>
        <v/>
      </c>
      <c r="D54" s="478"/>
      <c r="E54" s="479"/>
    </row>
    <row r="55" spans="1:5">
      <c r="A55" s="475"/>
      <c r="B55" s="476" t="s">
        <v>535</v>
      </c>
      <c r="C55" s="477" t="str">
        <f t="shared" si="0"/>
        <v/>
      </c>
      <c r="D55" s="478"/>
      <c r="E55" s="479"/>
    </row>
    <row r="56" spans="1:5">
      <c r="A56" s="475"/>
      <c r="B56" s="476" t="s">
        <v>535</v>
      </c>
      <c r="C56" s="477" t="str">
        <f t="shared" si="0"/>
        <v/>
      </c>
      <c r="D56" s="478"/>
      <c r="E56" s="479"/>
    </row>
    <row r="57" spans="1:5">
      <c r="A57" s="475"/>
      <c r="B57" s="481" t="s">
        <v>535</v>
      </c>
      <c r="C57" s="477" t="str">
        <f t="shared" si="0"/>
        <v/>
      </c>
      <c r="D57" s="478"/>
      <c r="E57" s="479"/>
    </row>
    <row r="58" spans="1:5">
      <c r="A58" s="475"/>
      <c r="B58" s="476" t="s">
        <v>535</v>
      </c>
      <c r="C58" s="477" t="str">
        <f t="shared" si="0"/>
        <v/>
      </c>
      <c r="D58" s="478"/>
      <c r="E58" s="479"/>
    </row>
    <row r="59" spans="1:5">
      <c r="A59" s="475"/>
      <c r="B59" s="476" t="s">
        <v>535</v>
      </c>
      <c r="C59" s="477" t="str">
        <f t="shared" si="0"/>
        <v/>
      </c>
      <c r="D59" s="478"/>
      <c r="E59" s="479"/>
    </row>
    <row r="60" spans="1:5">
      <c r="A60" s="475"/>
      <c r="B60" s="476" t="s">
        <v>535</v>
      </c>
      <c r="C60" s="477" t="str">
        <f t="shared" si="0"/>
        <v/>
      </c>
      <c r="D60" s="478"/>
      <c r="E60" s="479"/>
    </row>
    <row r="61" spans="1:5">
      <c r="A61" s="475"/>
      <c r="B61" s="476" t="s">
        <v>535</v>
      </c>
      <c r="C61" s="477" t="str">
        <f t="shared" si="0"/>
        <v/>
      </c>
      <c r="D61" s="478"/>
      <c r="E61" s="479"/>
    </row>
    <row r="62" spans="1:5">
      <c r="A62" s="475"/>
      <c r="B62" s="481" t="s">
        <v>535</v>
      </c>
      <c r="C62" s="477" t="str">
        <f t="shared" si="0"/>
        <v/>
      </c>
      <c r="D62" s="478"/>
      <c r="E62" s="479"/>
    </row>
    <row r="63" spans="1:5">
      <c r="A63" s="475"/>
      <c r="B63" s="476" t="s">
        <v>535</v>
      </c>
      <c r="C63" s="477" t="str">
        <f t="shared" si="0"/>
        <v/>
      </c>
      <c r="D63" s="478"/>
      <c r="E63" s="479"/>
    </row>
    <row r="64" spans="1:5">
      <c r="A64" s="475"/>
      <c r="B64" s="476" t="s">
        <v>535</v>
      </c>
      <c r="C64" s="477" t="str">
        <f t="shared" si="0"/>
        <v/>
      </c>
      <c r="D64" s="478"/>
      <c r="E64" s="479"/>
    </row>
  </sheetData>
  <sheetProtection algorithmName="SHA-512" hashValue="FDORX47qGKiUZ95FTc580RNdvtulfKCVltqvIu8zZ7VLOt2rXJAyL+ge4+bDPIq3pNPSGQp2iMXL89zGH0YFOw==" saltValue="+dk8DaD7HpQVWnQrZFztog==" spinCount="100000" sheet="1" objects="1" scenarios="1" sort="0" autoFilter="0"/>
  <protectedRanges>
    <protectedRange sqref="A5:E5 A9:B11 A12:A30 B12 B16:B17 D9:E30 B21:B22 B26:B27 B31:B32 B36:B37 B41:B42 B46:B47 B51:B52 B56:B57 B61:B62 C6:C64" name="Ingred et consommables"/>
    <protectedRange sqref="A6:B8 B13:B15 D6:E8 B18:B20 B23:B25 B28:B30 B33:B35 B38:B40 B43:B45 B48:B50 B53:B55 B58:B60 B63:B64" name="Ingred et consommables_1"/>
  </protectedRanges>
  <phoneticPr fontId="26" type="noConversion"/>
  <dataValidations count="1">
    <dataValidation type="list" allowBlank="1" showInputMessage="1" showErrorMessage="1" errorTitle="Valeur invalide" error="Veuillez choisir Oui ou Non" sqref="B5:B64" xr:uid="{A17FAE07-A9F8-4B62-B9FE-151752334D58}">
      <formula1>"Oui,Non"</formula1>
    </dataValidation>
  </dataValidations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AB518-254F-4BB9-A85B-23E826A8D0CE}">
  <dimension ref="A1:D64"/>
  <sheetViews>
    <sheetView topLeftCell="A57" workbookViewId="0">
      <selection activeCell="A9" sqref="A9"/>
    </sheetView>
  </sheetViews>
  <sheetFormatPr baseColWidth="10" defaultRowHeight="15.05"/>
  <cols>
    <col min="1" max="1" width="19.5546875" customWidth="1"/>
    <col min="2" max="2" width="19.44140625" customWidth="1"/>
    <col min="3" max="3" width="24.88671875" customWidth="1"/>
    <col min="4" max="4" width="29.5546875" customWidth="1"/>
  </cols>
  <sheetData>
    <row r="1" spans="1:4">
      <c r="A1" s="464" t="s">
        <v>401</v>
      </c>
      <c r="B1" s="465"/>
      <c r="C1" s="465"/>
      <c r="D1" s="466"/>
    </row>
    <row r="2" spans="1:4">
      <c r="A2" s="470"/>
      <c r="B2" s="297"/>
      <c r="C2" s="297"/>
      <c r="D2" s="484"/>
    </row>
    <row r="3" spans="1:4" ht="15.65" thickBot="1">
      <c r="A3" s="467"/>
      <c r="B3" s="468"/>
      <c r="C3" s="468"/>
      <c r="D3" s="469"/>
    </row>
    <row r="4" spans="1:4">
      <c r="A4" s="471" t="s">
        <v>4</v>
      </c>
      <c r="B4" s="473" t="s">
        <v>5</v>
      </c>
      <c r="C4" s="474" t="s">
        <v>6</v>
      </c>
      <c r="D4" s="474" t="s">
        <v>395</v>
      </c>
    </row>
    <row r="5" spans="1:4">
      <c r="A5" s="475" t="s">
        <v>19</v>
      </c>
      <c r="B5" s="475" t="s">
        <v>20</v>
      </c>
      <c r="C5" s="478" t="s">
        <v>21</v>
      </c>
      <c r="D5" s="479">
        <v>0.154</v>
      </c>
    </row>
    <row r="6" spans="1:4">
      <c r="A6" s="475" t="s">
        <v>38</v>
      </c>
      <c r="B6" s="475" t="s">
        <v>20</v>
      </c>
      <c r="C6" s="478" t="s">
        <v>21</v>
      </c>
      <c r="D6" s="479">
        <v>0.12</v>
      </c>
    </row>
    <row r="7" spans="1:4">
      <c r="A7" s="475" t="s">
        <v>27</v>
      </c>
      <c r="B7" s="480" t="s">
        <v>20</v>
      </c>
      <c r="C7" s="482" t="s">
        <v>28</v>
      </c>
      <c r="D7" s="483">
        <v>27.3</v>
      </c>
    </row>
    <row r="8" spans="1:4">
      <c r="A8" s="480" t="s">
        <v>402</v>
      </c>
      <c r="B8" s="480" t="s">
        <v>20</v>
      </c>
      <c r="C8" s="482" t="s">
        <v>28</v>
      </c>
      <c r="D8" s="483">
        <v>58</v>
      </c>
    </row>
    <row r="9" spans="1:4">
      <c r="A9" s="246"/>
      <c r="B9" s="246"/>
      <c r="C9" s="247"/>
      <c r="D9" s="24"/>
    </row>
    <row r="10" spans="1:4">
      <c r="A10" s="246"/>
      <c r="B10" s="246"/>
      <c r="C10" s="247"/>
      <c r="D10" s="24"/>
    </row>
    <row r="11" spans="1:4">
      <c r="A11" s="248"/>
      <c r="B11" s="248"/>
      <c r="C11" s="249"/>
      <c r="D11" s="250"/>
    </row>
    <row r="12" spans="1:4">
      <c r="A12" s="246"/>
      <c r="B12" s="246"/>
      <c r="C12" s="247"/>
      <c r="D12" s="24"/>
    </row>
    <row r="13" spans="1:4">
      <c r="A13" s="246"/>
      <c r="B13" s="246"/>
      <c r="C13" s="247"/>
      <c r="D13" s="24"/>
    </row>
    <row r="14" spans="1:4">
      <c r="A14" s="246"/>
      <c r="B14" s="246"/>
      <c r="C14" s="247"/>
      <c r="D14" s="24"/>
    </row>
    <row r="15" spans="1:4">
      <c r="A15" s="246"/>
      <c r="B15" s="246"/>
      <c r="C15" s="247"/>
      <c r="D15" s="24"/>
    </row>
    <row r="16" spans="1:4">
      <c r="A16" s="246"/>
      <c r="B16" s="246"/>
      <c r="C16" s="247"/>
      <c r="D16" s="24"/>
    </row>
    <row r="17" spans="1:4">
      <c r="A17" s="246"/>
      <c r="B17" s="246"/>
      <c r="C17" s="247"/>
      <c r="D17" s="24"/>
    </row>
    <row r="18" spans="1:4">
      <c r="A18" s="246"/>
      <c r="B18" s="246"/>
      <c r="C18" s="247"/>
      <c r="D18" s="24"/>
    </row>
    <row r="19" spans="1:4">
      <c r="A19" s="246"/>
      <c r="B19" s="246"/>
      <c r="C19" s="247"/>
      <c r="D19" s="24"/>
    </row>
    <row r="20" spans="1:4">
      <c r="A20" s="246"/>
      <c r="B20" s="246"/>
      <c r="C20" s="247"/>
      <c r="D20" s="24"/>
    </row>
    <row r="21" spans="1:4">
      <c r="A21" s="246"/>
      <c r="B21" s="246"/>
      <c r="C21" s="247"/>
      <c r="D21" s="24"/>
    </row>
    <row r="22" spans="1:4">
      <c r="A22" s="246"/>
      <c r="B22" s="246"/>
      <c r="C22" s="247"/>
      <c r="D22" s="24"/>
    </row>
    <row r="23" spans="1:4">
      <c r="A23" s="246"/>
      <c r="B23" s="246"/>
      <c r="C23" s="247"/>
      <c r="D23" s="24"/>
    </row>
    <row r="24" spans="1:4">
      <c r="A24" s="246"/>
      <c r="B24" s="246"/>
      <c r="C24" s="247"/>
      <c r="D24" s="24"/>
    </row>
    <row r="25" spans="1:4">
      <c r="A25" s="246"/>
      <c r="B25" s="246"/>
      <c r="C25" s="247"/>
      <c r="D25" s="24"/>
    </row>
    <row r="26" spans="1:4">
      <c r="A26" s="246"/>
      <c r="B26" s="246"/>
      <c r="C26" s="247"/>
      <c r="D26" s="24"/>
    </row>
    <row r="27" spans="1:4">
      <c r="A27" s="246"/>
      <c r="B27" s="246"/>
      <c r="C27" s="247"/>
      <c r="D27" s="24"/>
    </row>
    <row r="28" spans="1:4">
      <c r="A28" s="246"/>
      <c r="B28" s="246"/>
      <c r="C28" s="247"/>
      <c r="D28" s="24"/>
    </row>
    <row r="29" spans="1:4">
      <c r="A29" s="246"/>
      <c r="B29" s="246"/>
      <c r="C29" s="247"/>
      <c r="D29" s="24"/>
    </row>
    <row r="30" spans="1:4">
      <c r="A30" s="246"/>
      <c r="B30" s="246"/>
      <c r="C30" s="246"/>
      <c r="D30" s="246"/>
    </row>
    <row r="31" spans="1:4">
      <c r="A31" s="246"/>
      <c r="B31" s="246"/>
      <c r="C31" s="246"/>
      <c r="D31" s="246"/>
    </row>
    <row r="32" spans="1:4">
      <c r="A32" s="246"/>
      <c r="B32" s="246"/>
      <c r="C32" s="246"/>
      <c r="D32" s="246"/>
    </row>
    <row r="33" spans="1:4">
      <c r="A33" s="246"/>
      <c r="B33" s="246"/>
      <c r="C33" s="246"/>
      <c r="D33" s="246"/>
    </row>
    <row r="34" spans="1:4">
      <c r="A34" s="246"/>
      <c r="B34" s="246"/>
      <c r="C34" s="246"/>
      <c r="D34" s="246"/>
    </row>
    <row r="35" spans="1:4">
      <c r="A35" s="246"/>
      <c r="B35" s="246"/>
      <c r="C35" s="246"/>
      <c r="D35" s="246"/>
    </row>
    <row r="36" spans="1:4">
      <c r="A36" s="246"/>
      <c r="B36" s="246"/>
      <c r="C36" s="246"/>
      <c r="D36" s="246"/>
    </row>
    <row r="37" spans="1:4">
      <c r="A37" s="246"/>
      <c r="B37" s="246"/>
      <c r="C37" s="246"/>
      <c r="D37" s="246"/>
    </row>
    <row r="38" spans="1:4">
      <c r="A38" s="246"/>
      <c r="B38" s="246"/>
      <c r="C38" s="246"/>
      <c r="D38" s="246"/>
    </row>
    <row r="39" spans="1:4">
      <c r="A39" s="246"/>
      <c r="B39" s="246"/>
      <c r="C39" s="246"/>
      <c r="D39" s="246"/>
    </row>
    <row r="40" spans="1:4">
      <c r="A40" s="246"/>
      <c r="B40" s="246"/>
      <c r="C40" s="246"/>
      <c r="D40" s="246"/>
    </row>
    <row r="41" spans="1:4">
      <c r="A41" s="246"/>
      <c r="B41" s="246"/>
      <c r="C41" s="246"/>
      <c r="D41" s="246"/>
    </row>
    <row r="42" spans="1:4">
      <c r="A42" s="246"/>
      <c r="B42" s="246"/>
      <c r="C42" s="246"/>
      <c r="D42" s="246"/>
    </row>
    <row r="43" spans="1:4">
      <c r="A43" s="246"/>
      <c r="B43" s="246"/>
      <c r="C43" s="246"/>
      <c r="D43" s="246"/>
    </row>
    <row r="44" spans="1:4">
      <c r="A44" s="246"/>
      <c r="B44" s="246"/>
      <c r="C44" s="246"/>
      <c r="D44" s="246"/>
    </row>
    <row r="45" spans="1:4">
      <c r="A45" s="246"/>
      <c r="B45" s="246"/>
      <c r="C45" s="246"/>
      <c r="D45" s="246"/>
    </row>
    <row r="46" spans="1:4">
      <c r="A46" s="246"/>
      <c r="B46" s="246"/>
      <c r="C46" s="246"/>
      <c r="D46" s="246"/>
    </row>
    <row r="47" spans="1:4">
      <c r="A47" s="246"/>
      <c r="B47" s="246"/>
      <c r="C47" s="246"/>
      <c r="D47" s="246"/>
    </row>
    <row r="48" spans="1:4">
      <c r="A48" s="246"/>
      <c r="B48" s="246"/>
      <c r="C48" s="246"/>
      <c r="D48" s="246"/>
    </row>
    <row r="49" spans="1:4">
      <c r="A49" s="246"/>
      <c r="B49" s="246"/>
      <c r="C49" s="246"/>
      <c r="D49" s="246"/>
    </row>
    <row r="50" spans="1:4">
      <c r="A50" s="246"/>
      <c r="B50" s="246"/>
      <c r="C50" s="246"/>
      <c r="D50" s="246"/>
    </row>
    <row r="51" spans="1:4">
      <c r="A51" s="246"/>
      <c r="B51" s="246"/>
      <c r="C51" s="246"/>
      <c r="D51" s="246"/>
    </row>
    <row r="52" spans="1:4">
      <c r="A52" s="246"/>
      <c r="B52" s="246"/>
      <c r="C52" s="246"/>
      <c r="D52" s="246"/>
    </row>
    <row r="53" spans="1:4">
      <c r="A53" s="246"/>
      <c r="B53" s="246"/>
      <c r="C53" s="246"/>
      <c r="D53" s="246"/>
    </row>
    <row r="54" spans="1:4">
      <c r="A54" s="246"/>
      <c r="B54" s="246"/>
      <c r="C54" s="246"/>
      <c r="D54" s="246"/>
    </row>
    <row r="55" spans="1:4">
      <c r="A55" s="246"/>
      <c r="B55" s="246"/>
      <c r="C55" s="246"/>
      <c r="D55" s="246"/>
    </row>
    <row r="56" spans="1:4">
      <c r="A56" s="246"/>
      <c r="B56" s="246"/>
      <c r="C56" s="246"/>
      <c r="D56" s="246"/>
    </row>
    <row r="57" spans="1:4">
      <c r="A57" s="246"/>
      <c r="B57" s="246"/>
      <c r="C57" s="246"/>
      <c r="D57" s="246"/>
    </row>
    <row r="58" spans="1:4">
      <c r="A58" s="246"/>
      <c r="B58" s="246"/>
      <c r="C58" s="246"/>
      <c r="D58" s="246"/>
    </row>
    <row r="59" spans="1:4">
      <c r="A59" s="246"/>
      <c r="B59" s="246"/>
      <c r="C59" s="246"/>
      <c r="D59" s="246"/>
    </row>
    <row r="60" spans="1:4">
      <c r="A60" s="246"/>
      <c r="B60" s="246"/>
      <c r="C60" s="246"/>
      <c r="D60" s="246"/>
    </row>
    <row r="61" spans="1:4">
      <c r="A61" s="246"/>
      <c r="B61" s="246"/>
      <c r="C61" s="246"/>
      <c r="D61" s="246"/>
    </row>
    <row r="62" spans="1:4">
      <c r="A62" s="246"/>
      <c r="B62" s="246"/>
      <c r="C62" s="246"/>
      <c r="D62" s="246"/>
    </row>
    <row r="63" spans="1:4">
      <c r="A63" s="246"/>
      <c r="B63" s="246"/>
      <c r="C63" s="246"/>
      <c r="D63" s="246"/>
    </row>
    <row r="64" spans="1:4">
      <c r="A64" s="246"/>
      <c r="B64" s="246"/>
      <c r="C64" s="246"/>
      <c r="D64" s="246"/>
    </row>
  </sheetData>
  <sheetProtection algorithmName="SHA-512" hashValue="zg29Zn7jasfE6s3DRy6XHHdFahBE8ND3kkrKHMbdxYIPuMiG8jqPXnFheVE0aBnObzH1L05EZ3eRjBNjNEm1rQ==" saltValue="tdzizGNyDD48wlVSPlOUsw==" spinCount="100000" sheet="1" objects="1" scenarios="1" sort="0" autoFilter="0"/>
  <protectedRanges>
    <protectedRange sqref="A9:D30" name="Ingred et consommables"/>
    <protectedRange sqref="A8:D8" name="Ingred et consommables_1"/>
    <protectedRange sqref="A5:D7" name="Ingred et consommables_2"/>
  </protectedRange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E797D-007D-4188-AE94-FB7E54FCF7A7}">
  <dimension ref="A1:T97"/>
  <sheetViews>
    <sheetView topLeftCell="A31" workbookViewId="0">
      <selection activeCell="H28" sqref="H28:I29"/>
    </sheetView>
  </sheetViews>
  <sheetFormatPr baseColWidth="10" defaultRowHeight="15.05"/>
  <cols>
    <col min="1" max="1" width="49.33203125" customWidth="1"/>
    <col min="7" max="7" width="23.77734375" customWidth="1"/>
    <col min="10" max="10" width="25.44140625" customWidth="1"/>
  </cols>
  <sheetData>
    <row r="1" spans="1:20" ht="18.2">
      <c r="A1" s="33"/>
      <c r="B1" s="33"/>
      <c r="C1" s="33"/>
      <c r="D1" s="33"/>
      <c r="E1" s="33"/>
      <c r="F1" s="33"/>
      <c r="G1" s="33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</row>
    <row r="2" spans="1:20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</row>
    <row r="3" spans="1:20">
      <c r="A3" s="66"/>
      <c r="B3" s="105"/>
      <c r="C3" s="105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</row>
    <row r="4" spans="1:20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</row>
    <row r="5" spans="1:20" ht="15.65" thickBot="1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</row>
    <row r="6" spans="1:20" ht="15.65" thickBot="1">
      <c r="A6" s="855" t="s">
        <v>197</v>
      </c>
      <c r="B6" s="856"/>
      <c r="C6" s="856"/>
      <c r="D6" s="857"/>
      <c r="E6" s="552"/>
      <c r="F6" s="625"/>
      <c r="G6" s="855" t="s">
        <v>198</v>
      </c>
      <c r="H6" s="856"/>
      <c r="I6" s="856"/>
      <c r="J6" s="857"/>
      <c r="K6" s="299"/>
      <c r="L6" s="299"/>
      <c r="M6" s="626"/>
      <c r="N6" s="553">
        <v>2025</v>
      </c>
      <c r="O6" s="626"/>
      <c r="P6" s="34"/>
      <c r="Q6" s="34"/>
      <c r="R6" s="34"/>
      <c r="S6" s="34"/>
      <c r="T6" s="34"/>
    </row>
    <row r="7" spans="1:20" ht="15.65" thickBot="1">
      <c r="A7" s="299"/>
      <c r="B7" s="554">
        <f>'4. CHARGES FIXES'!H$16</f>
        <v>2024</v>
      </c>
      <c r="C7" s="554">
        <f>'4. CHARGES FIXES'!I$16</f>
        <v>2025</v>
      </c>
      <c r="D7" s="554">
        <f>'4. CHARGES FIXES'!J$16</f>
        <v>2026</v>
      </c>
      <c r="E7" s="554">
        <f>'4. CHARGES FIXES'!K$16</f>
        <v>2027</v>
      </c>
      <c r="F7" s="299"/>
      <c r="G7" s="299"/>
      <c r="H7" s="299"/>
      <c r="I7" s="299"/>
      <c r="J7" s="299"/>
      <c r="K7" s="299"/>
      <c r="L7" s="299"/>
      <c r="M7" s="626"/>
      <c r="N7" s="626"/>
      <c r="O7" s="626"/>
      <c r="P7" s="34"/>
      <c r="Q7" s="34"/>
      <c r="R7" s="34"/>
      <c r="S7" s="34"/>
      <c r="T7" s="34"/>
    </row>
    <row r="8" spans="1:20" ht="15.65" thickBot="1">
      <c r="A8" s="555" t="s">
        <v>201</v>
      </c>
      <c r="B8" s="556">
        <f>'11. Résultats'!C62</f>
        <v>10000</v>
      </c>
      <c r="C8" s="556">
        <f>'11. Résultats'!D62</f>
        <v>27000</v>
      </c>
      <c r="D8" s="556">
        <f>'11. Résultats'!E62</f>
        <v>0</v>
      </c>
      <c r="E8" s="556">
        <f>'11. Résultats'!F62</f>
        <v>0</v>
      </c>
      <c r="F8" s="627"/>
      <c r="G8" s="557" t="s">
        <v>202</v>
      </c>
      <c r="H8" s="858" t="s">
        <v>203</v>
      </c>
      <c r="I8" s="859"/>
      <c r="J8" s="559" t="s">
        <v>204</v>
      </c>
      <c r="K8" s="299"/>
      <c r="L8" s="299"/>
      <c r="M8" s="626"/>
      <c r="N8" s="559" t="s">
        <v>205</v>
      </c>
      <c r="O8" s="299"/>
      <c r="P8" s="34"/>
      <c r="Q8" s="34"/>
      <c r="R8" s="34"/>
      <c r="S8" s="34"/>
      <c r="T8" s="34"/>
    </row>
    <row r="9" spans="1:20">
      <c r="A9" s="560" t="str">
        <f>CONCATENATE("Taux de ",G9*100,"% de ",H9,"€ à ",I9,"€")</f>
        <v>Taux de 0% de 0€ à 1881.76€</v>
      </c>
      <c r="B9" s="561">
        <v>0</v>
      </c>
      <c r="C9" s="562">
        <v>0</v>
      </c>
      <c r="D9" s="563">
        <v>0</v>
      </c>
      <c r="E9" s="563">
        <v>1</v>
      </c>
      <c r="F9" s="326"/>
      <c r="G9" s="3">
        <v>0</v>
      </c>
      <c r="H9" s="564">
        <v>0</v>
      </c>
      <c r="I9" s="565">
        <v>1881.76</v>
      </c>
      <c r="J9" s="566" t="s">
        <v>207</v>
      </c>
      <c r="K9" s="299"/>
      <c r="L9" s="299"/>
      <c r="M9" s="626"/>
      <c r="N9" s="628" t="s">
        <v>208</v>
      </c>
      <c r="O9" s="626"/>
      <c r="P9" s="34"/>
      <c r="Q9" s="34"/>
      <c r="R9" s="34"/>
      <c r="S9" s="34"/>
      <c r="T9" s="34"/>
    </row>
    <row r="10" spans="1:20" ht="15.65" thickBot="1">
      <c r="A10" s="567" t="str">
        <f>CONCATENATE("Taux de ",G10*100,"% de ",H10,"€ à ",I10,"€")</f>
        <v>Taux de 20.5% de 0€ à 17008.88€</v>
      </c>
      <c r="B10" s="568">
        <f>IF(IF($B$8&lt;H10,0,IF($B$8&lt;I10,($B$8-H10)*G10,I10*G10))&lt;0,0,IF($B$8&lt;H10,0,IF($B$8&lt;I10,($B$8-H10)*G10,I10*G10)))</f>
        <v>2050</v>
      </c>
      <c r="C10" s="569">
        <f>IF(IF($C$8&lt;H10,0,IF($C$8&lt;I10,($C$8-H10)*G10,I10*G10))&lt;0,0,IF($C$8&lt;H10,0,IF($C$8&lt;I10,($C$8-H10)*G10,I10*G10)))</f>
        <v>3486.8204000000001</v>
      </c>
      <c r="D10" s="570">
        <f>IF(IF($D$8&lt;H10,0,IF($D$8&lt;I10,($D$8-I10)*G10,I10*G10))&lt;0,0,IF($D$8&lt;H10,0,IF($D$8&lt;I10,($D$8-I10)*G10,I10*G10)))</f>
        <v>0</v>
      </c>
      <c r="E10" s="570">
        <f>IF(IF($D$8&lt;I10,0,IF($D$8&lt;J10,($D$8-J10)*H10,J10*H10))&lt;0,0,IF($D$8&lt;I10,0,IF($D$8&lt;J10,($D$8-J10)*H10,J10*H10)))</f>
        <v>0</v>
      </c>
      <c r="F10" s="299"/>
      <c r="G10" s="4">
        <v>0.20499999999999999</v>
      </c>
      <c r="H10" s="571">
        <v>0</v>
      </c>
      <c r="I10" s="572">
        <v>17008.88</v>
      </c>
      <c r="J10" s="573">
        <f>G10*(I10-H10)</f>
        <v>3486.8204000000001</v>
      </c>
      <c r="K10" s="299"/>
      <c r="L10" s="299"/>
      <c r="M10" s="626"/>
      <c r="N10" s="574">
        <f>J10/4</f>
        <v>871.70510000000002</v>
      </c>
      <c r="O10" s="574">
        <f>I10/12</f>
        <v>1417.4066666666668</v>
      </c>
      <c r="P10" s="34"/>
      <c r="Q10" s="34"/>
      <c r="R10" s="34"/>
      <c r="S10" s="34"/>
      <c r="T10" s="34"/>
    </row>
    <row r="11" spans="1:20" ht="15.65" thickBot="1">
      <c r="A11" s="555" t="s">
        <v>210</v>
      </c>
      <c r="B11" s="556">
        <f>IFERROR(IF(SUM(B9:B10)&gt;$I$18,$I$18,IF(SUM(B9:B10)&lt;$I$15,$I$15,SUM(B9:B10)*(1+$J$15))),$I$15)</f>
        <v>3628.0366261999998</v>
      </c>
      <c r="C11" s="575">
        <f>IFERROR(IF(SUM(C9:C10)&gt;$I$18,$I$18,IF(SUM(C9:C10)&lt;$I$15,$I$15,SUM(C9:C10)*(1+J15))),$I$15)</f>
        <v>3628.0366261999998</v>
      </c>
      <c r="D11" s="556">
        <f>IFERROR( IF(SUM(D9:D10)&gt;$I$18,$I$18,IF(SUM(D9:D10)&lt;$I$15,$I$15,SUM(D9:D10)*(1+J15))),$I$15)</f>
        <v>3628.0366261999998</v>
      </c>
      <c r="E11" s="556">
        <f>IFERROR( IF(SUM(E9:E10)&gt;$I$18,$I$18,IF(SUM(E9:E10)&lt;$I$15,$I$15,SUM(E9:E10)*(1+K15))),$I$15)</f>
        <v>3628.0366261999998</v>
      </c>
      <c r="F11" s="629"/>
      <c r="G11" s="4">
        <v>0.20499999999999999</v>
      </c>
      <c r="H11" s="571">
        <f>+H10</f>
        <v>0</v>
      </c>
      <c r="I11" s="572">
        <v>73447.520000000004</v>
      </c>
      <c r="J11" s="573">
        <f>G11*(I11-H11)</f>
        <v>15056.741599999999</v>
      </c>
      <c r="K11" s="626"/>
      <c r="L11" s="626"/>
      <c r="M11" s="626"/>
      <c r="N11" s="299"/>
      <c r="O11" s="299"/>
      <c r="P11" s="34"/>
      <c r="Q11" s="34"/>
      <c r="R11" s="34"/>
      <c r="S11" s="34"/>
      <c r="T11" s="34"/>
    </row>
    <row r="12" spans="1:20">
      <c r="A12" s="567" t="str">
        <f>CONCATENATE("Taux de ",G11*100,"% de ",H11,"€ à ",I11,"€")</f>
        <v>Taux de 20.5% de 0€ à 73447.52€</v>
      </c>
      <c r="B12" s="576">
        <f>IF(IF($B$8&lt;I10,0,IF($B$8&lt;I11,($B$8-I10)*G11,(I11-I10)*G11))&lt;0,0,IF($B$8&lt;I10,0,IF($B$8&lt;I11,($B$8-I10)*G11,(I11-I10)*G11)))</f>
        <v>0</v>
      </c>
      <c r="C12" s="577">
        <f>IF(IF($C$8&lt;I10,0,IF($C$8&lt;I11,($C$8-I10)*G11,(I11-I10)*G11))&lt;0,0,IF($C$8&lt;I10,0,IF($C$8&lt;I11,($C$8-I10)*G11,(I11-I10)*G11)))</f>
        <v>2048.1795999999995</v>
      </c>
      <c r="D12" s="578">
        <f>IF(IF($D$8&lt;I10,0,IF($D$8&lt;I11,($D$8-I10)*G11,(I11-I10)*G11))&lt;0,0,IF($D$8&lt;I10,0,IF($D$8&lt;I11,($D$8-I10)*G11,(I11-I10)*G11)))</f>
        <v>0</v>
      </c>
      <c r="E12" s="578">
        <f>IF(IF($D$8&lt;J10,0,IF($D$8&lt;J11,($D$8-J10)*H11,(J11-J10)*H11))&lt;0,0,IF($D$8&lt;J10,0,IF($D$8&lt;J11,($D$8-J10)*H11,(J11-J10)*H11)))</f>
        <v>0</v>
      </c>
      <c r="F12" s="299"/>
      <c r="G12" s="5">
        <v>0.1416</v>
      </c>
      <c r="H12" s="571">
        <f>+I11</f>
        <v>73447.520000000004</v>
      </c>
      <c r="I12" s="572">
        <v>108238.39999999999</v>
      </c>
      <c r="J12" s="573">
        <f>G12*(I12-H12)</f>
        <v>4926.3886079999984</v>
      </c>
      <c r="K12" s="626"/>
      <c r="L12" s="626"/>
      <c r="M12" s="626"/>
      <c r="N12" s="299"/>
      <c r="O12" s="299"/>
      <c r="P12" s="34"/>
      <c r="Q12" s="34"/>
      <c r="R12" s="34"/>
      <c r="S12" s="34"/>
      <c r="T12" s="34"/>
    </row>
    <row r="13" spans="1:20" ht="15.65" thickBot="1">
      <c r="A13" s="567" t="str">
        <f>CONCATENATE("Taux de ",G12*100,"% de ",H12,"€ à ",I12,"€")</f>
        <v>Taux de 14.16% de 73447.52€ à 108238.4€</v>
      </c>
      <c r="B13" s="576">
        <f>IF(IF($B$8&lt;I11,0,IF($B$8&lt;I12,($B$8-I11)*G12,(I12-I11)*G12))&lt;0,0,IF($B$8&lt;I11,0,IF($B$8&lt;I12,($B$8-I11)*G12,(I12-I11)*G12)))</f>
        <v>0</v>
      </c>
      <c r="C13" s="577">
        <f>IF(IF($C$8&lt;I11,0,IF($C$8&lt;I12,($C$8-I11)*G12,(I12-I11)*G12))&lt;0,0,IF($C$8&lt;I11,0,IF($C$8&lt;I12,($C$8-I11)*G12,(I12-I11)*G12)))</f>
        <v>0</v>
      </c>
      <c r="D13" s="578">
        <f>IF(IF($D$8&lt;I11,0,IF($D$8&lt;I12,($D$8-I11)*G12,(I12-I11)*G12))&lt;0,0,IF($D$8&lt;I11,0,IF($D$8&lt;I12,($D$8-I11)*G12,(I12-I11)*G12)))</f>
        <v>0</v>
      </c>
      <c r="E13" s="578">
        <f>IF(IF($D$8&lt;J11,0,IF($D$8&lt;J12,($D$8-J11)*H12,(J12-J11)*H12))&lt;0,0,IF($D$8&lt;J11,0,IF($D$8&lt;J12,($D$8-J11)*H12,(J12-J11)*H12)))</f>
        <v>0</v>
      </c>
      <c r="F13" s="299"/>
      <c r="G13" s="6">
        <v>0</v>
      </c>
      <c r="H13" s="579">
        <f>+I12</f>
        <v>108238.39999999999</v>
      </c>
      <c r="I13" s="580"/>
      <c r="J13" s="581"/>
      <c r="K13" s="626"/>
      <c r="L13" s="626"/>
      <c r="M13" s="626"/>
      <c r="N13" s="299"/>
      <c r="O13" s="299"/>
      <c r="P13" s="34"/>
      <c r="Q13" s="34"/>
      <c r="R13" s="34"/>
      <c r="S13" s="34"/>
      <c r="T13" s="34"/>
    </row>
    <row r="14" spans="1:20" ht="15.65" thickBot="1">
      <c r="A14" s="582" t="str">
        <f>CONCATENATE("Taux de ",G13*100,"% de ",H13,"€ à ",I13,"€")</f>
        <v>Taux de 0% de 108238.4€ à €</v>
      </c>
      <c r="B14" s="583"/>
      <c r="C14" s="584"/>
      <c r="D14" s="585"/>
      <c r="E14" s="585"/>
      <c r="F14" s="299"/>
      <c r="G14" s="630"/>
      <c r="H14" s="631"/>
      <c r="I14" s="299"/>
      <c r="J14" s="299"/>
      <c r="K14" s="632"/>
      <c r="L14" s="626"/>
      <c r="M14" s="626"/>
      <c r="N14" s="299"/>
      <c r="O14" s="299"/>
      <c r="P14" s="34"/>
      <c r="Q14" s="34"/>
      <c r="R14" s="34"/>
      <c r="S14" s="34"/>
      <c r="T14" s="34"/>
    </row>
    <row r="15" spans="1:20" ht="15.65" thickBot="1">
      <c r="A15" s="555" t="s">
        <v>210</v>
      </c>
      <c r="B15" s="586">
        <f>IF(((B10+B12+B13)*(1+$J$18))&gt;$I$18,$I$18,IF(((B10+B12+B13)*(1+$J$18))&lt;$I$15,$I$15,((B10+B12+B13)*(1+$J$18))))</f>
        <v>3628.0366261999998</v>
      </c>
      <c r="C15" s="586">
        <f>IF(((C10+C12+C13)*(1+$J$18))&gt;$I$18,$I$18,IF(((C10+C12+C13)*(1+$J$18))&lt;$I$15,$I$15,((C10+C12+C13)*(1+$J$18))))</f>
        <v>5759.1674999999996</v>
      </c>
      <c r="D15" s="586">
        <f>IF(((D10+D12+D13)*(1+$J$18))&gt;$I$18,$I$18,IF(((D10+D12+D13)*(1+$J$18))&lt;$I$15,$I$15,((D10+D12+D13)*(1+$J$18))))</f>
        <v>3628.0366261999998</v>
      </c>
      <c r="E15" s="586">
        <f>IF(((E10+E12+E13)*(1+$J$18))&gt;$I$18,$I$18,IF(((E10+E12+E13)*(1+$J$18))&lt;$I$15,$I$15,((E10+E12+E13)*(1+$J$18))))</f>
        <v>3628.0366261999998</v>
      </c>
      <c r="F15" s="629"/>
      <c r="G15" s="860" t="str">
        <f>CONCATENATE("cotis. min = ",I10,"€ x ",G10*100,"% augmenté des frais de gestion")</f>
        <v>cotis. min = 17008.88€ x 20.5% augmenté des frais de gestion</v>
      </c>
      <c r="H15" s="861"/>
      <c r="I15" s="864">
        <f>J10*(1+J15)</f>
        <v>3628.0366261999998</v>
      </c>
      <c r="J15" s="866">
        <v>4.0500000000000001E-2</v>
      </c>
      <c r="K15" s="626"/>
      <c r="L15" s="626"/>
      <c r="M15" s="626"/>
      <c r="N15" s="299"/>
      <c r="O15" s="299"/>
      <c r="P15" s="34"/>
      <c r="Q15" s="34"/>
      <c r="R15" s="34"/>
      <c r="S15" s="34"/>
      <c r="T15" s="34"/>
    </row>
    <row r="16" spans="1:20">
      <c r="A16" s="299"/>
      <c r="B16" s="633"/>
      <c r="C16" s="633"/>
      <c r="D16" s="633"/>
      <c r="E16" s="633"/>
      <c r="F16" s="299"/>
      <c r="G16" s="862"/>
      <c r="H16" s="863"/>
      <c r="I16" s="865"/>
      <c r="J16" s="867"/>
      <c r="K16" s="626"/>
      <c r="L16" s="626"/>
      <c r="M16" s="626"/>
      <c r="N16" s="299"/>
      <c r="O16" s="299"/>
      <c r="P16" s="34"/>
      <c r="Q16" s="34"/>
      <c r="R16" s="34"/>
      <c r="S16" s="34"/>
      <c r="T16" s="34"/>
    </row>
    <row r="17" spans="1:20">
      <c r="A17" s="299"/>
      <c r="B17" s="299"/>
      <c r="C17" s="299"/>
      <c r="D17" s="299"/>
      <c r="E17" s="299"/>
      <c r="F17" s="299"/>
      <c r="G17" s="862"/>
      <c r="H17" s="863"/>
      <c r="I17" s="865"/>
      <c r="J17" s="867"/>
      <c r="K17" s="626"/>
      <c r="L17" s="626"/>
      <c r="M17" s="626"/>
      <c r="N17" s="299"/>
      <c r="O17" s="299"/>
      <c r="P17" s="34"/>
      <c r="Q17" s="34"/>
      <c r="R17" s="34"/>
      <c r="S17" s="34"/>
      <c r="T17" s="34"/>
    </row>
    <row r="18" spans="1:20" ht="15.65" thickBot="1">
      <c r="A18" s="299"/>
      <c r="B18" s="299"/>
      <c r="C18" s="299"/>
      <c r="D18" s="299"/>
      <c r="E18" s="299"/>
      <c r="F18" s="299"/>
      <c r="G18" s="862" t="str">
        <f>CONCATENATE("Plafond si revenus supérieurs à ",I12,"€")</f>
        <v>Plafond si revenus supérieurs à 108238.4€</v>
      </c>
      <c r="H18" s="863"/>
      <c r="I18" s="865">
        <f>(J11+J12)*(1+J18)</f>
        <v>20792.446981423996</v>
      </c>
      <c r="J18" s="867">
        <v>4.0500000000000001E-2</v>
      </c>
      <c r="K18" s="626"/>
      <c r="L18" s="626"/>
      <c r="M18" s="626"/>
      <c r="N18" s="299"/>
      <c r="O18" s="299"/>
      <c r="P18" s="34"/>
      <c r="Q18" s="34"/>
      <c r="R18" s="34"/>
      <c r="S18" s="34"/>
      <c r="T18" s="34"/>
    </row>
    <row r="19" spans="1:20" ht="15.65" thickBot="1">
      <c r="A19" s="874" t="s">
        <v>214</v>
      </c>
      <c r="B19" s="875"/>
      <c r="C19" s="875"/>
      <c r="D19" s="876"/>
      <c r="E19" s="587"/>
      <c r="F19" s="634"/>
      <c r="G19" s="870"/>
      <c r="H19" s="871"/>
      <c r="I19" s="872"/>
      <c r="J19" s="873"/>
      <c r="K19" s="299"/>
      <c r="L19" s="299"/>
      <c r="M19" s="299"/>
      <c r="N19" s="299"/>
      <c r="O19" s="299"/>
      <c r="P19" s="34"/>
      <c r="Q19" s="34"/>
      <c r="R19" s="34"/>
      <c r="S19" s="34"/>
      <c r="T19" s="34"/>
    </row>
    <row r="20" spans="1:20" ht="15.65" thickBot="1">
      <c r="A20" s="634"/>
      <c r="B20" s="634"/>
      <c r="C20" s="634"/>
      <c r="D20" s="634"/>
      <c r="E20" s="634"/>
      <c r="F20" s="635"/>
      <c r="G20" s="299"/>
      <c r="H20" s="299"/>
      <c r="I20" s="299"/>
      <c r="J20" s="299"/>
      <c r="K20" s="299"/>
      <c r="L20" s="299"/>
      <c r="M20" s="299"/>
      <c r="N20" s="299"/>
      <c r="O20" s="299"/>
      <c r="P20" s="34"/>
      <c r="Q20" s="34"/>
      <c r="R20" s="34"/>
      <c r="S20" s="34"/>
      <c r="T20" s="34"/>
    </row>
    <row r="21" spans="1:20" ht="15.65" thickBot="1">
      <c r="A21" s="636"/>
      <c r="B21" s="554">
        <f>'4. CHARGES FIXES'!H$16</f>
        <v>2024</v>
      </c>
      <c r="C21" s="554">
        <f>'4. CHARGES FIXES'!I16</f>
        <v>2025</v>
      </c>
      <c r="D21" s="554">
        <f>'4. CHARGES FIXES'!J16</f>
        <v>2026</v>
      </c>
      <c r="E21" s="554">
        <f>'4. CHARGES FIXES'!K16</f>
        <v>2027</v>
      </c>
      <c r="F21" s="637"/>
      <c r="G21" s="558" t="s">
        <v>215</v>
      </c>
      <c r="H21" s="877" t="s">
        <v>216</v>
      </c>
      <c r="I21" s="859"/>
      <c r="J21" s="299"/>
      <c r="K21" s="299"/>
      <c r="L21" s="299"/>
      <c r="M21" s="299"/>
      <c r="N21" s="299"/>
      <c r="O21" s="299"/>
      <c r="P21" s="34"/>
      <c r="Q21" s="34"/>
      <c r="R21" s="34"/>
      <c r="S21" s="34"/>
      <c r="T21" s="34"/>
    </row>
    <row r="22" spans="1:20" ht="15.65" thickBot="1">
      <c r="A22" s="555" t="s">
        <v>217</v>
      </c>
      <c r="B22" s="588">
        <f>'11. Résultats'!C64</f>
        <v>6371.9633738000002</v>
      </c>
      <c r="C22" s="588">
        <f>'11. Résultats'!D64</f>
        <v>21240.8325</v>
      </c>
      <c r="D22" s="588">
        <f>'11. Résultats'!E64</f>
        <v>-3628.0366261999998</v>
      </c>
      <c r="E22" s="588">
        <f>'11. Résultats'!F64</f>
        <v>-3628.0366261999998</v>
      </c>
      <c r="F22" s="635"/>
      <c r="G22" s="589">
        <v>0.25</v>
      </c>
      <c r="H22" s="590">
        <v>0</v>
      </c>
      <c r="I22" s="591">
        <v>15820</v>
      </c>
      <c r="J22" s="299"/>
      <c r="K22" s="299"/>
      <c r="L22" s="299"/>
      <c r="M22" s="299"/>
      <c r="N22" s="299"/>
      <c r="O22" s="299"/>
      <c r="P22" s="34"/>
      <c r="Q22" s="34"/>
      <c r="R22" s="34"/>
      <c r="S22" s="34"/>
      <c r="T22" s="34"/>
    </row>
    <row r="23" spans="1:20">
      <c r="A23" s="638" t="s">
        <v>218</v>
      </c>
      <c r="B23" s="639"/>
      <c r="C23" s="639"/>
      <c r="D23" s="639"/>
      <c r="E23" s="639"/>
      <c r="F23" s="640"/>
      <c r="G23" s="592">
        <v>0.4</v>
      </c>
      <c r="H23" s="593">
        <f>I22</f>
        <v>15820</v>
      </c>
      <c r="I23" s="594">
        <v>27920</v>
      </c>
      <c r="J23" s="299"/>
      <c r="K23" s="326"/>
      <c r="L23" s="299"/>
      <c r="M23" s="299"/>
      <c r="N23" s="299"/>
      <c r="O23" s="299"/>
      <c r="P23" s="34"/>
      <c r="Q23" s="34"/>
      <c r="R23" s="34"/>
      <c r="S23" s="34"/>
      <c r="T23" s="34"/>
    </row>
    <row r="24" spans="1:20">
      <c r="A24" s="595" t="str">
        <f>CONCATENATE("Taux de ",G22*100,"% de ",H22,"€ à ",I22,"€")</f>
        <v>Taux de 25% de 0€ à 15820€</v>
      </c>
      <c r="B24" s="596">
        <f>IF(IF(B22&lt;$I$22,B22*$G$22,$I$22*$G$22)&lt;0,0,IF(B22&lt;$I$22,B22*$G$22,$I$22*$G$22))</f>
        <v>1592.9908434500001</v>
      </c>
      <c r="C24" s="596">
        <f>IF(IF(C22&lt;$I$22,C22*$G$22,$I$22*$G$22)&lt;0,0,IF(C22&lt;$I$22,C22*$G$22,$I$22*$G$22))</f>
        <v>3955</v>
      </c>
      <c r="D24" s="596">
        <f>IF(IF(D22&lt;$I$22,D22*$G$22,$I$22*$G$22)&lt;0,0,IF(D22&lt;$I$22,D22*$G$22,$I$22*$G$22))</f>
        <v>0</v>
      </c>
      <c r="E24" s="596">
        <f>IF(IF(E22&lt;$I$22,E22*$G$22,$I$22*$G$22)&lt;0,0,IF(E22&lt;$I$22,E22*$G$22,$I$22*$G$22))</f>
        <v>0</v>
      </c>
      <c r="F24" s="640"/>
      <c r="G24" s="589">
        <v>0.45</v>
      </c>
      <c r="H24" s="597">
        <f>I23</f>
        <v>27920</v>
      </c>
      <c r="I24" s="591">
        <v>48320</v>
      </c>
      <c r="J24" s="299"/>
      <c r="K24" s="299"/>
      <c r="L24" s="299"/>
      <c r="M24" s="299"/>
      <c r="N24" s="299"/>
      <c r="O24" s="299"/>
      <c r="P24" s="34"/>
      <c r="Q24" s="34"/>
      <c r="R24" s="34"/>
      <c r="S24" s="34"/>
      <c r="T24" s="34"/>
    </row>
    <row r="25" spans="1:20" ht="15.65" thickBot="1">
      <c r="A25" s="595" t="str">
        <f>CONCATENATE("Taux de ",G23*100,"% de ",H23,"€ à ",I23,"€")</f>
        <v>Taux de 40% de 15820€ à 27920€</v>
      </c>
      <c r="B25" s="596">
        <f>IF(IF(B22&lt;$I$23,(B22-$H$23)*$G$23,($I$23-$H$23)*$G$23)&lt;0,0,IF(B22&lt;$I$23,(B22-$H$23)*$G$23,($I$23-$H$23)*$G$23))</f>
        <v>0</v>
      </c>
      <c r="C25" s="596">
        <f>IF(IF(C22&lt;$I$23,(C22-$H$23)*$G$23,($I$23-$H$23)*$G$23)&lt;0,0,IF(C22&lt;$I$23,(C22-$H$23)*$G$23,($I$23-$H$23)*$G$23))</f>
        <v>2168.3330000000001</v>
      </c>
      <c r="D25" s="596">
        <f>IF(IF(D22&lt;$I$23,(D22-$H$23)*$G$23,($I$23-$H$23)*$G$23)&lt;0,0,IF(D22&lt;$I$23,(D22-$H$23)*$G$23,($I$23-$H$23)*$G$23))</f>
        <v>0</v>
      </c>
      <c r="E25" s="596">
        <f>IF(IF(E22&lt;$I$23,(E22-$H$23)*$G$23,($I$23-$H$23)*$G$23)&lt;0,0,IF(E22&lt;$I$23,(E22-$H$23)*$G$23,($I$23-$H$23)*$G$23))</f>
        <v>0</v>
      </c>
      <c r="F25" s="640"/>
      <c r="G25" s="598">
        <v>0.5</v>
      </c>
      <c r="H25" s="599">
        <f>I24</f>
        <v>48320</v>
      </c>
      <c r="I25" s="600"/>
      <c r="J25" s="299"/>
      <c r="K25" s="299"/>
      <c r="L25" s="299"/>
      <c r="M25" s="299"/>
      <c r="N25" s="299"/>
      <c r="O25" s="299"/>
      <c r="P25" s="34"/>
      <c r="Q25" s="34"/>
      <c r="R25" s="34"/>
      <c r="S25" s="34"/>
      <c r="T25" s="34"/>
    </row>
    <row r="26" spans="1:20" ht="15.65" thickBot="1">
      <c r="A26" s="595" t="str">
        <f>CONCATENATE("Taux de ",G24*100,"% de ",H24,"€ à ",I24,"€")</f>
        <v>Taux de 45% de 27920€ à 48320€</v>
      </c>
      <c r="B26" s="596">
        <f>IF(IF(B22&lt;$I$24,(B22-$H$24)*$G$24,($I$24-$H$24)*$G$24)&lt;0,0,IF(B22&lt;$I$24,(B22-$H$24)*$G$24,($I$24-$H$24)*$G$24))</f>
        <v>0</v>
      </c>
      <c r="C26" s="596">
        <f>IF(IF(C22&lt;$I$24,(C22-$H$24)*$G$24,($I$24-$H$24)*$G$24)&lt;0,0,(IF(C22&lt;$I$24,(C22-$H$24)*$G$24,($I$24-$H$24)*$G$24)))</f>
        <v>0</v>
      </c>
      <c r="D26" s="596">
        <f>IF(IF(D22&lt;$I$24,(D22-$H$24)*$G$24,($I$24-$H$24)*$G$24)&lt;0,0,(IF(D22&lt;$I$24,(D22-$H$24)*$G$24,($I$24-$H$24)*$G$24)))</f>
        <v>0</v>
      </c>
      <c r="E26" s="596">
        <f>IF(IF(E22&lt;$I$24,(E22-$H$24)*$G$24,($I$24-$H$24)*$G$24)&lt;0,0,(IF(E22&lt;$I$24,(E22-$H$24)*$G$24,($I$24-$H$24)*$G$24)))</f>
        <v>0</v>
      </c>
      <c r="F26" s="640"/>
      <c r="G26" s="299"/>
      <c r="H26" s="299"/>
      <c r="I26" s="299"/>
      <c r="J26" s="299"/>
      <c r="K26" s="326"/>
      <c r="L26" s="299"/>
      <c r="M26" s="299"/>
      <c r="N26" s="299"/>
      <c r="O26" s="299"/>
      <c r="P26" s="34"/>
      <c r="Q26" s="34"/>
      <c r="R26" s="34"/>
      <c r="S26" s="34"/>
      <c r="T26" s="34"/>
    </row>
    <row r="27" spans="1:20" ht="15.65" thickBot="1">
      <c r="A27" s="595" t="str">
        <f>CONCATENATE("Taux de ",G25*100,"% à partir de ",H25,"€")</f>
        <v>Taux de 50% à partir de 48320€</v>
      </c>
      <c r="B27" s="596">
        <f>IF(IF(B22&gt;$I$24,(B22-$I$24)*$G$25,0)&lt;0,0,IF(B22&gt;$I$24,(B22-$I$24)*$G$25,0))</f>
        <v>0</v>
      </c>
      <c r="C27" s="596">
        <f>IF(IF(C22&gt;$I$24,(C22-$I$24)*$G$25,0)&lt;0,0,IF(C22&gt;$I$24,(C22-$I$24)*$G$25,0))</f>
        <v>0</v>
      </c>
      <c r="D27" s="596">
        <f>IF(IF(D22&gt;$I$24,(D22-$I$24)*$G$25,0)&lt;0,0,IF(D22&gt;$I$24,(D22-$I$24)*$G$25,0))</f>
        <v>0</v>
      </c>
      <c r="E27" s="596">
        <f>IF(IF(E22&gt;$I$24,(E22-$I$24)*$G$25,0)&lt;0,0,IF(E22&gt;$I$24,(E22-$I$24)*$G$25,0))</f>
        <v>0</v>
      </c>
      <c r="F27" s="640"/>
      <c r="G27" s="858" t="s">
        <v>219</v>
      </c>
      <c r="H27" s="877"/>
      <c r="I27" s="859"/>
      <c r="J27" s="299"/>
      <c r="K27" s="299"/>
      <c r="L27" s="299"/>
      <c r="M27" s="299"/>
      <c r="N27" s="299"/>
      <c r="O27" s="299"/>
      <c r="P27" s="34"/>
      <c r="Q27" s="34"/>
      <c r="R27" s="34"/>
      <c r="S27" s="34"/>
      <c r="T27" s="34"/>
    </row>
    <row r="28" spans="1:20">
      <c r="A28" s="601" t="s">
        <v>220</v>
      </c>
      <c r="B28" s="602">
        <f>SUM(B24:B27)</f>
        <v>1592.9908434500001</v>
      </c>
      <c r="C28" s="602">
        <f>SUM(C24:C27)</f>
        <v>6123.3330000000005</v>
      </c>
      <c r="D28" s="602">
        <f>SUM(D24:D27)</f>
        <v>0</v>
      </c>
      <c r="E28" s="602">
        <f>SUM(E24:E27)</f>
        <v>0</v>
      </c>
      <c r="F28" s="640"/>
      <c r="G28" s="878">
        <v>10570</v>
      </c>
      <c r="H28" s="880" t="s">
        <v>221</v>
      </c>
      <c r="I28" s="881"/>
      <c r="J28" s="299"/>
      <c r="K28" s="299"/>
      <c r="L28" s="299"/>
      <c r="M28" s="299"/>
      <c r="N28" s="299"/>
      <c r="O28" s="299"/>
      <c r="P28" s="34"/>
      <c r="Q28" s="34"/>
      <c r="R28" s="34"/>
      <c r="S28" s="34"/>
      <c r="T28" s="34"/>
    </row>
    <row r="29" spans="1:20" ht="15.65" thickBot="1">
      <c r="A29" s="641"/>
      <c r="B29" s="642"/>
      <c r="C29" s="642"/>
      <c r="D29" s="643"/>
      <c r="E29" s="644"/>
      <c r="F29" s="645"/>
      <c r="G29" s="879"/>
      <c r="H29" s="882"/>
      <c r="I29" s="883"/>
      <c r="J29" s="299"/>
      <c r="K29" s="299"/>
      <c r="L29" s="299"/>
      <c r="M29" s="299"/>
      <c r="N29" s="299"/>
      <c r="O29" s="299"/>
      <c r="P29" s="34"/>
      <c r="Q29" s="34"/>
      <c r="R29" s="34"/>
      <c r="S29" s="34"/>
      <c r="T29" s="34"/>
    </row>
    <row r="30" spans="1:20" ht="15.65" thickBot="1">
      <c r="A30" s="646" t="s">
        <v>222</v>
      </c>
      <c r="B30" s="603">
        <f>$G$28</f>
        <v>10570</v>
      </c>
      <c r="C30" s="603">
        <f>$G$28</f>
        <v>10570</v>
      </c>
      <c r="D30" s="603">
        <f>$G$28</f>
        <v>10570</v>
      </c>
      <c r="E30" s="603">
        <f>$G$28</f>
        <v>10570</v>
      </c>
      <c r="F30" s="645"/>
      <c r="G30" s="299"/>
      <c r="H30" s="299"/>
      <c r="I30" s="299"/>
      <c r="J30" s="299"/>
      <c r="K30" s="299"/>
      <c r="L30" s="299"/>
      <c r="M30" s="299"/>
      <c r="N30" s="299"/>
      <c r="O30" s="299"/>
      <c r="P30" s="34"/>
      <c r="Q30" s="34"/>
      <c r="R30" s="34"/>
      <c r="S30" s="34"/>
      <c r="T30" s="34"/>
    </row>
    <row r="31" spans="1:20" ht="15.65" thickBot="1">
      <c r="A31" s="604" t="s">
        <v>223</v>
      </c>
      <c r="B31" s="603">
        <v>0</v>
      </c>
      <c r="C31" s="603">
        <v>0</v>
      </c>
      <c r="D31" s="603">
        <v>0</v>
      </c>
      <c r="E31" s="603">
        <v>1</v>
      </c>
      <c r="F31" s="640"/>
      <c r="G31" s="884" t="s">
        <v>224</v>
      </c>
      <c r="H31" s="885"/>
      <c r="I31" s="885"/>
      <c r="J31" s="886"/>
      <c r="K31" s="299"/>
      <c r="L31" s="299"/>
      <c r="M31" s="299"/>
      <c r="N31" s="299"/>
      <c r="O31" s="299"/>
      <c r="P31" s="34"/>
      <c r="Q31" s="34"/>
      <c r="R31" s="34"/>
      <c r="S31" s="34"/>
      <c r="T31" s="34"/>
    </row>
    <row r="32" spans="1:20" ht="15.65" thickBot="1">
      <c r="A32" s="601" t="s">
        <v>225</v>
      </c>
      <c r="B32" s="602">
        <f>SUM(B30:B31)</f>
        <v>10570</v>
      </c>
      <c r="C32" s="602">
        <f>SUM(C30:C31)</f>
        <v>10570</v>
      </c>
      <c r="D32" s="602">
        <f>SUM(D30:D31)</f>
        <v>10570</v>
      </c>
      <c r="E32" s="602">
        <f>SUM(E30:E31)</f>
        <v>10571</v>
      </c>
      <c r="F32" s="640"/>
      <c r="G32" s="647">
        <v>1</v>
      </c>
      <c r="H32" s="590">
        <v>1920</v>
      </c>
      <c r="I32" s="648" t="s">
        <v>226</v>
      </c>
      <c r="J32" s="605">
        <f>+H32</f>
        <v>1920</v>
      </c>
      <c r="K32" s="299"/>
      <c r="L32" s="299"/>
      <c r="M32" s="299"/>
      <c r="N32" s="299"/>
      <c r="O32" s="299"/>
      <c r="P32" s="34"/>
      <c r="Q32" s="34"/>
      <c r="R32" s="34"/>
      <c r="S32" s="34"/>
      <c r="T32" s="34"/>
    </row>
    <row r="33" spans="1:20" ht="15.65" thickBot="1">
      <c r="A33" s="641"/>
      <c r="B33" s="642"/>
      <c r="C33" s="642"/>
      <c r="D33" s="643"/>
      <c r="E33" s="643"/>
      <c r="F33" s="640"/>
      <c r="G33" s="649">
        <v>2</v>
      </c>
      <c r="H33" s="597">
        <v>4950</v>
      </c>
      <c r="I33" s="650" t="s">
        <v>226</v>
      </c>
      <c r="J33" s="605">
        <f>+H33</f>
        <v>4950</v>
      </c>
      <c r="K33" s="299"/>
      <c r="L33" s="299"/>
      <c r="M33" s="299"/>
      <c r="N33" s="299"/>
      <c r="O33" s="299"/>
      <c r="P33" s="34"/>
      <c r="Q33" s="34"/>
      <c r="R33" s="34"/>
      <c r="S33" s="34"/>
      <c r="T33" s="34"/>
    </row>
    <row r="34" spans="1:20" ht="15.65" thickBot="1">
      <c r="A34" s="651" t="s">
        <v>227</v>
      </c>
      <c r="B34" s="652"/>
      <c r="C34" s="652"/>
      <c r="D34" s="653"/>
      <c r="E34" s="653"/>
      <c r="F34" s="640"/>
      <c r="G34" s="649">
        <v>3</v>
      </c>
      <c r="H34" s="593">
        <v>11090</v>
      </c>
      <c r="I34" s="650" t="s">
        <v>226</v>
      </c>
      <c r="J34" s="605">
        <f>+H34</f>
        <v>11090</v>
      </c>
      <c r="K34" s="299"/>
      <c r="L34" s="299"/>
      <c r="M34" s="299"/>
      <c r="N34" s="299"/>
      <c r="O34" s="299"/>
      <c r="P34" s="34"/>
      <c r="Q34" s="34"/>
      <c r="R34" s="34"/>
      <c r="S34" s="34"/>
      <c r="T34" s="34"/>
    </row>
    <row r="35" spans="1:20" ht="15.65" thickBot="1">
      <c r="A35" s="567" t="str">
        <f>CONCATENATE("Taux de ",G43*100,"% de ",H43,"€ à ",I43,"€")</f>
        <v>Taux de 25% de 0.01€ à 10570€</v>
      </c>
      <c r="B35" s="596">
        <f>IF(IF(B32&gt;$I$43,B32*$G$43,0)&lt;0,0,IF(B32&lt;$I$43,B32*$G$43,0))</f>
        <v>0</v>
      </c>
      <c r="C35" s="596">
        <f>IF(IF(C32&lt;9120,C32*$G$22,0)&lt;0,0,IF(C32&lt;9120,C32*$G$22,0))</f>
        <v>0</v>
      </c>
      <c r="D35" s="576">
        <f>IF(IF(D32&lt;9120,D32*$G$22,0)&lt;0,0,IF(D32&lt;9120,D32*$G$22,0))</f>
        <v>0</v>
      </c>
      <c r="E35" s="576">
        <f>IF(IF(E32&lt;9120,E32*$G$22,0)&lt;0,0,IF(E32&lt;9120,E32*$G$22,0))</f>
        <v>0</v>
      </c>
      <c r="F35" s="640"/>
      <c r="G35" s="654">
        <v>4</v>
      </c>
      <c r="H35" s="599">
        <v>17940</v>
      </c>
      <c r="I35" s="655" t="s">
        <v>226</v>
      </c>
      <c r="J35" s="605">
        <f>+H35</f>
        <v>17940</v>
      </c>
      <c r="K35" s="299"/>
      <c r="L35" s="299"/>
      <c r="M35" s="299"/>
      <c r="N35" s="299"/>
      <c r="O35" s="299"/>
      <c r="P35" s="34"/>
      <c r="Q35" s="34"/>
      <c r="R35" s="34"/>
      <c r="S35" s="34"/>
      <c r="T35" s="34"/>
    </row>
    <row r="36" spans="1:20">
      <c r="A36" s="567" t="str">
        <f>CONCATENATE("Taux de ",G44*100,"% de ",H44,"€ à ",I44,"€")</f>
        <v>Taux de 40% de 10570€ à 13250€</v>
      </c>
      <c r="B36" s="596">
        <f>IF(
IF(B32&lt;$I$44,(B32-$H$44)*$G$44,($I$44-$H$44)*$G$44)&lt;0,0,
IF(B32&lt;$I$44,(B32)*$G$44,($I$22-$H$44)*$G$44))</f>
        <v>4228</v>
      </c>
      <c r="C36" s="596">
        <f>IF(IF(C32&lt;$I$22,(C32-9120)*30%,($I$22-9120)*30%)&lt;0,0,IF(C32&lt;12990,(C32-9120)*30%,(12990-9120)*30%))</f>
        <v>435</v>
      </c>
      <c r="D36" s="596">
        <f>IF(IF(D32&lt;$I$22,(D32-9120)*30%,($I$22-9120)*30%)&lt;0,0,IF(D32&lt;12990,(D32-9120)*30%,(12990-9120)*30%))</f>
        <v>435</v>
      </c>
      <c r="E36" s="596">
        <f>IF(IF(E32&lt;$I$22,(E32-9120)*30%,($I$22-9120)*30%)&lt;0,0,IF(E32&lt;12990,(E32-9120)*30%,(12990-9120)*30%))</f>
        <v>435.3</v>
      </c>
      <c r="F36" s="640"/>
      <c r="G36" s="606">
        <v>6850</v>
      </c>
      <c r="H36" s="887" t="s">
        <v>228</v>
      </c>
      <c r="I36" s="887"/>
      <c r="J36" s="888"/>
      <c r="K36" s="299"/>
      <c r="L36" s="299"/>
      <c r="M36" s="299"/>
      <c r="N36" s="299"/>
      <c r="O36" s="299"/>
      <c r="P36" s="34"/>
      <c r="Q36" s="34"/>
      <c r="R36" s="34"/>
      <c r="S36" s="34"/>
      <c r="T36" s="34"/>
    </row>
    <row r="37" spans="1:20">
      <c r="A37" s="567" t="str">
        <f>CONCATENATE("Taux de ",G45*100,"% de ",H45,"€ à ",I45,"€")</f>
        <v>Taux de 45% de 13250€ à 22080€</v>
      </c>
      <c r="B37" s="596">
        <f>IF(IF(B32&lt;21640,(B32-12990)*40%,(21640-12990)*40%)&lt;0,0,IF(B32&lt;21640,(B32-12990)*40%,(21640-12990)*40%))</f>
        <v>0</v>
      </c>
      <c r="C37" s="596">
        <f>IF(IF(C32&lt;21640,(C32-12990)*40%,(21640-12990)*40%)&lt;0,0,IF(C32&lt;21640,(C32-12990)*$G$23,(21640-12990)*40%))</f>
        <v>0</v>
      </c>
      <c r="D37" s="596">
        <f>IF(IF(D32&lt;21640,(D32-12990)*40%,(21640-12990)*40%)&lt;0,0,IF(D32&lt;21640,(D32-12990)*40%,(21640-12990)*40%))</f>
        <v>0</v>
      </c>
      <c r="E37" s="596">
        <f>IF(IF(E32&lt;21640,(E32-12990)*40%,(21640-12990)*40%)&lt;0,0,IF(E32&lt;21640,(E32-12990)*40%,(21640-12990)*40%))</f>
        <v>0</v>
      </c>
      <c r="F37" s="640"/>
      <c r="G37" s="607">
        <v>1850</v>
      </c>
      <c r="H37" s="868" t="s">
        <v>229</v>
      </c>
      <c r="I37" s="868"/>
      <c r="J37" s="869"/>
      <c r="K37" s="299"/>
      <c r="L37" s="299"/>
      <c r="M37" s="299"/>
      <c r="N37" s="299"/>
      <c r="O37" s="299"/>
      <c r="P37" s="34"/>
      <c r="Q37" s="34"/>
      <c r="R37" s="34"/>
      <c r="S37" s="34"/>
      <c r="T37" s="34"/>
    </row>
    <row r="38" spans="1:20">
      <c r="A38" s="567" t="str">
        <f>CONCATENATE("Taux de ",G46*100,"% de ",H46,"€ à ",I46,"€")</f>
        <v>Taux de 45% de 22080€ à 40480€</v>
      </c>
      <c r="B38" s="596">
        <f>IF(IF(B32&lt;39660,(B32-21640)*45%,(39660-21640)*45%)&lt;0,0,IF(B32&lt;39660,(B32-21640)*45%,(39660-21640)*45%))</f>
        <v>0</v>
      </c>
      <c r="C38" s="596">
        <f>IF(IF(C32&lt;39660,(C32-21640)*45%,(39660-21640)*45%)&lt;0,0,IF(C32&lt;39660,(C32-21640)*45%,(39660-21640)*45%))</f>
        <v>0</v>
      </c>
      <c r="D38" s="596">
        <f>IF(IF(D32&lt;39660,(D32-21640)*45%,(39660-21640)*45%)&lt;0,0,IF(D32&lt;39660,(D32-21640)*45%,(39660-21640)*45%))</f>
        <v>0</v>
      </c>
      <c r="E38" s="596">
        <f>IF(IF(E32&lt;39660,(E32-21640)*45%,(39660-21640)*45%)&lt;0,0,IF(E32&lt;39660,(E32-21640)*45%,(39660-21640)*45%))</f>
        <v>0</v>
      </c>
      <c r="F38" s="640"/>
      <c r="G38" s="607">
        <v>690</v>
      </c>
      <c r="H38" s="868" t="s">
        <v>230</v>
      </c>
      <c r="I38" s="868"/>
      <c r="J38" s="869"/>
      <c r="K38" s="299"/>
      <c r="L38" s="299"/>
      <c r="M38" s="299"/>
      <c r="N38" s="299"/>
      <c r="O38" s="299"/>
      <c r="P38" s="34"/>
      <c r="Q38" s="34"/>
      <c r="R38" s="34"/>
      <c r="S38" s="34"/>
      <c r="T38" s="34"/>
    </row>
    <row r="39" spans="1:20">
      <c r="A39" s="567" t="str">
        <f>CONCATENATE("Taux de ",G47*100,"% à partir de ",H47,"€",)</f>
        <v>Taux de 50% à partir de 40480€</v>
      </c>
      <c r="B39" s="596">
        <f>IF(B32&gt;39660,(B32-39660)*50%,0)</f>
        <v>0</v>
      </c>
      <c r="C39" s="596">
        <f>IF(C32&gt;39660,(C32-39660)*50%,0)</f>
        <v>0</v>
      </c>
      <c r="D39" s="596">
        <f>IF(D32&gt;39660,(D32-39660)*50%,0)</f>
        <v>0</v>
      </c>
      <c r="E39" s="596">
        <f>IF(E32&gt;39660,(E32-39660)*50%,0)</f>
        <v>0</v>
      </c>
      <c r="F39" s="640"/>
      <c r="G39" s="607">
        <v>3270</v>
      </c>
      <c r="H39" s="868" t="s">
        <v>231</v>
      </c>
      <c r="I39" s="868"/>
      <c r="J39" s="869"/>
      <c r="K39" s="299"/>
      <c r="L39" s="299"/>
      <c r="M39" s="299"/>
      <c r="N39" s="299"/>
      <c r="O39" s="299"/>
      <c r="P39" s="34"/>
      <c r="Q39" s="34"/>
      <c r="R39" s="34"/>
      <c r="S39" s="34"/>
      <c r="T39" s="34"/>
    </row>
    <row r="40" spans="1:20" ht="15.65" thickBot="1">
      <c r="A40" s="601" t="s">
        <v>232</v>
      </c>
      <c r="B40" s="602">
        <f>SUM(B35:B39)</f>
        <v>4228</v>
      </c>
      <c r="C40" s="602">
        <f>SUM(C35:C39)</f>
        <v>435</v>
      </c>
      <c r="D40" s="602">
        <f>SUM(D35:D39)</f>
        <v>435</v>
      </c>
      <c r="E40" s="602">
        <f>SUM(E35:E39)</f>
        <v>435.3</v>
      </c>
      <c r="F40" s="656"/>
      <c r="G40" s="608">
        <v>1920</v>
      </c>
      <c r="H40" s="891" t="s">
        <v>233</v>
      </c>
      <c r="I40" s="891"/>
      <c r="J40" s="892"/>
      <c r="K40" s="299"/>
      <c r="L40" s="299"/>
      <c r="M40" s="299"/>
      <c r="N40" s="299"/>
      <c r="O40" s="299"/>
      <c r="P40" s="34"/>
      <c r="Q40" s="34"/>
      <c r="R40" s="34"/>
      <c r="S40" s="34"/>
      <c r="T40" s="34"/>
    </row>
    <row r="41" spans="1:20" ht="15.65" thickBot="1">
      <c r="A41" s="641"/>
      <c r="B41" s="642"/>
      <c r="C41" s="642"/>
      <c r="D41" s="643"/>
      <c r="E41" s="643"/>
      <c r="F41" s="657"/>
      <c r="G41" s="299"/>
      <c r="H41" s="299"/>
      <c r="I41" s="299"/>
      <c r="J41" s="299"/>
      <c r="K41" s="299"/>
      <c r="L41" s="299"/>
      <c r="M41" s="299"/>
      <c r="N41" s="299"/>
      <c r="O41" s="299"/>
      <c r="P41" s="34"/>
      <c r="Q41" s="34"/>
      <c r="R41" s="34"/>
      <c r="S41" s="34"/>
      <c r="T41" s="34"/>
    </row>
    <row r="42" spans="1:20" ht="15.65" thickBot="1">
      <c r="A42" s="555" t="s">
        <v>234</v>
      </c>
      <c r="B42" s="609">
        <f>IF(B28-B40&lt;0,0,B28-B40)</f>
        <v>0</v>
      </c>
      <c r="C42" s="609">
        <f>IF(C28-C40&lt;0,0,C28-C40)</f>
        <v>5688.3330000000005</v>
      </c>
      <c r="D42" s="609">
        <f t="shared" ref="D42:E42" si="0">IF(D28-D40&lt;0,0,D28-D40)</f>
        <v>0</v>
      </c>
      <c r="E42" s="609">
        <f t="shared" si="0"/>
        <v>0</v>
      </c>
      <c r="F42" s="657"/>
      <c r="G42" s="558" t="s">
        <v>215</v>
      </c>
      <c r="H42" s="877" t="s">
        <v>235</v>
      </c>
      <c r="I42" s="859"/>
      <c r="J42" s="299"/>
      <c r="K42" s="299"/>
      <c r="L42" s="299"/>
      <c r="M42" s="299"/>
      <c r="N42" s="299"/>
      <c r="O42" s="299"/>
      <c r="P42" s="34"/>
      <c r="Q42" s="34"/>
      <c r="R42" s="34"/>
      <c r="S42" s="34"/>
      <c r="T42" s="34"/>
    </row>
    <row r="43" spans="1:20">
      <c r="A43" s="636"/>
      <c r="B43" s="658"/>
      <c r="C43" s="659"/>
      <c r="D43" s="660"/>
      <c r="E43" s="660"/>
      <c r="F43" s="640"/>
      <c r="G43" s="589">
        <v>0.25</v>
      </c>
      <c r="H43" s="590">
        <v>0.01</v>
      </c>
      <c r="I43" s="610">
        <f>+G28</f>
        <v>10570</v>
      </c>
      <c r="J43" s="299"/>
      <c r="K43" s="299"/>
      <c r="L43" s="299"/>
      <c r="M43" s="299"/>
      <c r="N43" s="299"/>
      <c r="O43" s="299"/>
      <c r="P43" s="34"/>
      <c r="Q43" s="34"/>
      <c r="R43" s="34"/>
      <c r="S43" s="34"/>
      <c r="T43" s="34"/>
    </row>
    <row r="44" spans="1:20">
      <c r="A44" s="299"/>
      <c r="B44" s="661"/>
      <c r="C44" s="640"/>
      <c r="D44" s="660"/>
      <c r="E44" s="660"/>
      <c r="F44" s="640"/>
      <c r="G44" s="592">
        <v>0.4</v>
      </c>
      <c r="H44" s="593">
        <f>I43</f>
        <v>10570</v>
      </c>
      <c r="I44" s="611">
        <v>13250</v>
      </c>
      <c r="J44" s="299"/>
      <c r="K44" s="299"/>
      <c r="L44" s="299"/>
      <c r="M44" s="299"/>
      <c r="N44" s="299"/>
      <c r="O44" s="299"/>
      <c r="P44" s="34"/>
      <c r="Q44" s="34"/>
      <c r="R44" s="34"/>
      <c r="S44" s="34"/>
      <c r="T44" s="34"/>
    </row>
    <row r="45" spans="1:20">
      <c r="A45" s="299"/>
      <c r="B45" s="661"/>
      <c r="C45" s="640"/>
      <c r="D45" s="660"/>
      <c r="E45" s="660"/>
      <c r="F45" s="640"/>
      <c r="G45" s="589">
        <v>0.45</v>
      </c>
      <c r="H45" s="597">
        <f>I44</f>
        <v>13250</v>
      </c>
      <c r="I45" s="612">
        <v>22080</v>
      </c>
      <c r="J45" s="299"/>
      <c r="K45" s="299"/>
      <c r="L45" s="299"/>
      <c r="M45" s="299"/>
      <c r="N45" s="299"/>
      <c r="O45" s="299"/>
      <c r="P45" s="34"/>
      <c r="Q45" s="34"/>
      <c r="R45" s="34"/>
      <c r="S45" s="34"/>
      <c r="T45" s="34"/>
    </row>
    <row r="46" spans="1:20">
      <c r="A46" s="299"/>
      <c r="B46" s="661"/>
      <c r="C46" s="640"/>
      <c r="D46" s="660"/>
      <c r="E46" s="660"/>
      <c r="F46" s="640"/>
      <c r="G46" s="589">
        <v>0.45</v>
      </c>
      <c r="H46" s="597">
        <f>I45</f>
        <v>22080</v>
      </c>
      <c r="I46" s="612">
        <v>40480</v>
      </c>
      <c r="J46" s="299"/>
      <c r="K46" s="299"/>
      <c r="L46" s="299"/>
      <c r="M46" s="299"/>
      <c r="N46" s="299"/>
      <c r="O46" s="299"/>
      <c r="P46" s="34"/>
      <c r="Q46" s="34"/>
      <c r="R46" s="34"/>
      <c r="S46" s="34"/>
      <c r="T46" s="34"/>
    </row>
    <row r="47" spans="1:20" ht="15.65" thickBot="1">
      <c r="A47" s="299"/>
      <c r="B47" s="661"/>
      <c r="C47" s="640"/>
      <c r="D47" s="660"/>
      <c r="E47" s="660"/>
      <c r="F47" s="299"/>
      <c r="G47" s="598">
        <v>0.5</v>
      </c>
      <c r="H47" s="599">
        <f>I46</f>
        <v>40480</v>
      </c>
      <c r="I47" s="600"/>
      <c r="J47" s="299"/>
      <c r="K47" s="299"/>
      <c r="L47" s="299"/>
      <c r="M47" s="299"/>
      <c r="N47" s="299"/>
      <c r="O47" s="299"/>
      <c r="P47" s="34"/>
      <c r="Q47" s="34"/>
      <c r="R47" s="34"/>
      <c r="S47" s="34"/>
      <c r="T47" s="34"/>
    </row>
    <row r="48" spans="1:20">
      <c r="A48" s="299"/>
      <c r="B48" s="661"/>
      <c r="C48" s="640"/>
      <c r="D48" s="660"/>
      <c r="E48" s="660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34"/>
      <c r="Q48" s="34"/>
      <c r="R48" s="34"/>
      <c r="S48" s="34"/>
      <c r="T48" s="34"/>
    </row>
    <row r="49" spans="1:20">
      <c r="A49" s="299"/>
      <c r="B49" s="299"/>
      <c r="C49" s="299"/>
      <c r="D49" s="299"/>
      <c r="E49" s="299"/>
      <c r="F49" s="299"/>
      <c r="G49" s="626"/>
      <c r="H49" s="299"/>
      <c r="I49" s="299"/>
      <c r="J49" s="299"/>
      <c r="K49" s="299"/>
      <c r="L49" s="299"/>
      <c r="M49" s="299"/>
      <c r="N49" s="299"/>
      <c r="O49" s="299"/>
      <c r="P49" s="34"/>
      <c r="Q49" s="34"/>
      <c r="R49" s="34"/>
      <c r="S49" s="34"/>
      <c r="T49" s="34"/>
    </row>
    <row r="50" spans="1:20" ht="15.65" thickBot="1">
      <c r="A50" s="299"/>
      <c r="B50" s="299"/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299"/>
      <c r="O50" s="299"/>
      <c r="P50" s="34"/>
      <c r="Q50" s="34"/>
      <c r="R50" s="34"/>
      <c r="S50" s="34"/>
      <c r="T50" s="34"/>
    </row>
    <row r="51" spans="1:20" ht="15.65" thickBot="1">
      <c r="A51" s="874" t="s">
        <v>236</v>
      </c>
      <c r="B51" s="875"/>
      <c r="C51" s="875"/>
      <c r="D51" s="876"/>
      <c r="E51" s="587"/>
      <c r="F51" s="299"/>
      <c r="G51" s="893" t="s">
        <v>237</v>
      </c>
      <c r="H51" s="894"/>
      <c r="I51" s="895"/>
      <c r="J51" s="299"/>
      <c r="K51" s="299"/>
      <c r="L51" s="299"/>
      <c r="M51" s="299"/>
      <c r="N51" s="299"/>
      <c r="O51" s="299"/>
      <c r="P51" s="34"/>
      <c r="Q51" s="34"/>
      <c r="R51" s="34"/>
      <c r="S51" s="34"/>
      <c r="T51" s="34"/>
    </row>
    <row r="52" spans="1:20" ht="15.65" thickBot="1">
      <c r="A52" s="636"/>
      <c r="B52" s="662" t="s">
        <v>194</v>
      </c>
      <c r="C52" s="662" t="s">
        <v>195</v>
      </c>
      <c r="D52" s="662" t="s">
        <v>196</v>
      </c>
      <c r="E52" s="662" t="s">
        <v>343</v>
      </c>
      <c r="F52" s="299"/>
      <c r="G52" s="613" t="s">
        <v>238</v>
      </c>
      <c r="H52" s="889" t="s">
        <v>239</v>
      </c>
      <c r="I52" s="890"/>
      <c r="J52" s="299"/>
      <c r="K52" s="299"/>
      <c r="L52" s="299"/>
      <c r="M52" s="299"/>
      <c r="N52" s="299"/>
      <c r="O52" s="299"/>
      <c r="P52" s="34"/>
      <c r="Q52" s="34"/>
      <c r="R52" s="34"/>
      <c r="S52" s="34"/>
      <c r="T52" s="34"/>
    </row>
    <row r="53" spans="1:20" ht="15.65" thickBot="1">
      <c r="A53" s="614" t="s">
        <v>217</v>
      </c>
      <c r="B53" s="615">
        <f ca="1">'11. Résultats'!C40</f>
        <v>2476.8183429666824</v>
      </c>
      <c r="C53" s="615">
        <f ca="1">'11. Résultats'!D40</f>
        <v>41555.573428322103</v>
      </c>
      <c r="D53" s="615">
        <f ca="1">'11. Résultats'!E40</f>
        <v>-47493.517361509155</v>
      </c>
      <c r="E53" s="615">
        <f ca="1">'11. Résultats'!F40</f>
        <v>-51021.5871637905</v>
      </c>
      <c r="F53" s="299"/>
      <c r="G53" s="616">
        <v>0.2</v>
      </c>
      <c r="H53" s="571">
        <v>0</v>
      </c>
      <c r="I53" s="617">
        <v>100000</v>
      </c>
      <c r="J53" s="299"/>
      <c r="K53" s="299"/>
      <c r="L53" s="299"/>
      <c r="M53" s="299"/>
      <c r="N53" s="299"/>
      <c r="O53" s="299"/>
      <c r="P53" s="34"/>
      <c r="Q53" s="34"/>
      <c r="R53" s="34"/>
      <c r="S53" s="34"/>
      <c r="T53" s="34"/>
    </row>
    <row r="54" spans="1:20">
      <c r="A54" s="663" t="str">
        <f>CONCATENATE("Taux de ",G53*100,"% de ",H53,"€ à ",I53,"€")</f>
        <v>Taux de 20% de 0€ à 100000€</v>
      </c>
      <c r="B54" s="618">
        <f ca="1">IF(B53&gt;$I$53, $I$53*$G$53,B53*$G$53)</f>
        <v>495.36366859333651</v>
      </c>
      <c r="C54" s="618">
        <f ca="1">IF(C53&gt;$I$53, $I$53*$G$53,C53*$G$53)</f>
        <v>8311.1146856644209</v>
      </c>
      <c r="D54" s="618">
        <f ca="1">IF(D53&gt;$I$53, $I$53*$G$53,D53*$G$53)</f>
        <v>-9498.7034723018314</v>
      </c>
      <c r="E54" s="618">
        <f ca="1">IF(E53&gt;$I$53, $I$53*$G$53,E53*$G$53)</f>
        <v>-10204.3174327581</v>
      </c>
      <c r="F54" s="299"/>
      <c r="G54" s="616">
        <v>0.25</v>
      </c>
      <c r="H54" s="571">
        <f>I53</f>
        <v>100000</v>
      </c>
      <c r="I54" s="617"/>
      <c r="J54" s="299"/>
      <c r="K54" s="299"/>
      <c r="L54" s="299"/>
      <c r="M54" s="299"/>
      <c r="N54" s="299"/>
      <c r="O54" s="299"/>
      <c r="P54" s="34"/>
      <c r="Q54" s="34"/>
      <c r="R54" s="34"/>
      <c r="S54" s="34"/>
      <c r="T54" s="34"/>
    </row>
    <row r="55" spans="1:20" ht="15.65" thickBot="1">
      <c r="A55" s="663" t="str">
        <f>CONCATENATE("Taux de ",G54*100,"% à partir de ",H54,"€")</f>
        <v>Taux de 25% à partir de 100000€</v>
      </c>
      <c r="B55" s="619">
        <f ca="1">IF(B53&gt;$H$54,(B53-$H$54)*$G$54,0)</f>
        <v>0</v>
      </c>
      <c r="C55" s="620">
        <f ca="1">IF(C53&gt;$H$54,(C53-$H$54)*$G$54,0)</f>
        <v>0</v>
      </c>
      <c r="D55" s="621">
        <f ca="1">IF(D53&gt;$H$54,(D53-$H$54)*$G$54,0)</f>
        <v>0</v>
      </c>
      <c r="E55" s="621">
        <f ca="1">IF(E53&gt;$H$54,(E53-$H$54)*$G$54,0)</f>
        <v>0</v>
      </c>
      <c r="F55" s="299"/>
      <c r="G55" s="664"/>
      <c r="H55" s="665"/>
      <c r="I55" s="666"/>
      <c r="J55" s="299"/>
      <c r="K55" s="299"/>
      <c r="L55" s="299"/>
      <c r="M55" s="299"/>
      <c r="N55" s="299"/>
      <c r="O55" s="299"/>
      <c r="P55" s="34"/>
      <c r="Q55" s="34"/>
      <c r="R55" s="34"/>
      <c r="S55" s="34"/>
      <c r="T55" s="34"/>
    </row>
    <row r="56" spans="1:20" ht="15.65" thickBot="1">
      <c r="A56" s="614" t="s">
        <v>240</v>
      </c>
      <c r="B56" s="588">
        <f ca="1">IF(SUM(B54:B55)&gt;0,SUM(B54:B55),0)</f>
        <v>495.36366859333651</v>
      </c>
      <c r="C56" s="622">
        <f ca="1">IF(SUM(C54:C55)&gt;0,SUM(C54:C55),0)</f>
        <v>8311.1146856644209</v>
      </c>
      <c r="D56" s="588">
        <f ca="1">IF(SUM(D54:D55)&gt;0,SUM(D54:D55),0)</f>
        <v>0</v>
      </c>
      <c r="E56" s="588">
        <f ca="1">IF(SUM(E54:E55)&gt;0,SUM(E54:E55),0)</f>
        <v>0</v>
      </c>
      <c r="F56" s="299"/>
      <c r="G56" s="299"/>
      <c r="H56" s="299"/>
      <c r="I56" s="299"/>
      <c r="J56" s="299"/>
      <c r="K56" s="299"/>
      <c r="L56" s="299"/>
      <c r="M56" s="299"/>
      <c r="N56" s="299"/>
      <c r="O56" s="299"/>
      <c r="P56" s="34"/>
      <c r="Q56" s="34"/>
      <c r="R56" s="34"/>
      <c r="S56" s="34"/>
      <c r="T56" s="34"/>
    </row>
    <row r="57" spans="1:20" ht="15.65" thickBot="1">
      <c r="A57" s="667"/>
      <c r="B57" s="588"/>
      <c r="C57" s="622"/>
      <c r="D57" s="588"/>
      <c r="E57" s="588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34"/>
      <c r="Q57" s="34"/>
      <c r="R57" s="34"/>
      <c r="S57" s="34"/>
      <c r="T57" s="34"/>
    </row>
    <row r="58" spans="1:20" ht="15.65" thickBot="1">
      <c r="A58" s="555" t="s">
        <v>241</v>
      </c>
      <c r="B58" s="623">
        <f ca="1">B56+B57</f>
        <v>495.36366859333651</v>
      </c>
      <c r="C58" s="624">
        <f ca="1">C56+C57</f>
        <v>8311.1146856644209</v>
      </c>
      <c r="D58" s="623">
        <f ca="1">D56+D57</f>
        <v>0</v>
      </c>
      <c r="E58" s="623">
        <f ca="1">E56+E57</f>
        <v>0</v>
      </c>
      <c r="F58" s="299"/>
      <c r="G58" s="299"/>
      <c r="H58" s="299"/>
      <c r="I58" s="299"/>
      <c r="J58" s="299"/>
      <c r="K58" s="299"/>
      <c r="L58" s="299"/>
      <c r="M58" s="299"/>
      <c r="N58" s="299"/>
      <c r="O58" s="299"/>
      <c r="P58" s="34"/>
      <c r="Q58" s="34"/>
      <c r="R58" s="34"/>
      <c r="S58" s="34"/>
      <c r="T58" s="34"/>
    </row>
    <row r="59" spans="1:20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</row>
    <row r="60" spans="1:20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</row>
    <row r="61" spans="1:20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</row>
    <row r="62" spans="1:20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</row>
    <row r="63" spans="1:20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</row>
    <row r="64" spans="1:20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</row>
    <row r="65" spans="1:20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</row>
    <row r="66" spans="1:20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</row>
    <row r="67" spans="1:20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</row>
    <row r="68" spans="1:20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</row>
    <row r="69" spans="1:20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</row>
    <row r="70" spans="1:20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</row>
    <row r="71" spans="1:20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</row>
    <row r="72" spans="1:20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</row>
    <row r="73" spans="1:20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</row>
    <row r="74" spans="1:20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</row>
    <row r="75" spans="1:20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</row>
    <row r="76" spans="1:20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</row>
    <row r="77" spans="1:20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</row>
    <row r="78" spans="1:20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</row>
    <row r="79" spans="1:20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</row>
    <row r="80" spans="1:20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</row>
    <row r="81" spans="1:20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</row>
    <row r="82" spans="1:20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</row>
    <row r="83" spans="1:20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</row>
    <row r="84" spans="1:20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</row>
    <row r="85" spans="1:20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</row>
    <row r="86" spans="1:20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</row>
    <row r="87" spans="1:20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</row>
    <row r="88" spans="1:20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</row>
    <row r="89" spans="1:20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</row>
    <row r="90" spans="1:20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</row>
    <row r="91" spans="1:20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</row>
    <row r="92" spans="1:20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</row>
    <row r="93" spans="1:20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</row>
    <row r="94" spans="1:20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</row>
    <row r="95" spans="1:20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</row>
    <row r="96" spans="1:20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</row>
    <row r="97" spans="1:20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</row>
  </sheetData>
  <sheetProtection algorithmName="SHA-512" hashValue="QCpRhP+90fk3aNio2p3svR8YSAp+qWupCK4WSaIiSezdD4N7g9XN13TzwI7f1gbFF7rjf4Ei2hisixe9iR3t2w==" saltValue="cxjoGZ/cbCCevZANDad7tg==" spinCount="100000" sheet="1" objects="1" scenarios="1" sort="0" autoFilter="0"/>
  <mergeCells count="24">
    <mergeCell ref="H52:I52"/>
    <mergeCell ref="H39:J39"/>
    <mergeCell ref="H40:J40"/>
    <mergeCell ref="H42:I42"/>
    <mergeCell ref="A51:D51"/>
    <mergeCell ref="G51:I51"/>
    <mergeCell ref="H38:J38"/>
    <mergeCell ref="G18:H19"/>
    <mergeCell ref="I18:I19"/>
    <mergeCell ref="J18:J19"/>
    <mergeCell ref="A19:D19"/>
    <mergeCell ref="H21:I21"/>
    <mergeCell ref="G27:I27"/>
    <mergeCell ref="G28:G29"/>
    <mergeCell ref="H28:I29"/>
    <mergeCell ref="G31:J31"/>
    <mergeCell ref="H36:J36"/>
    <mergeCell ref="H37:J37"/>
    <mergeCell ref="A6:D6"/>
    <mergeCell ref="G6:J6"/>
    <mergeCell ref="H8:I8"/>
    <mergeCell ref="G15:H17"/>
    <mergeCell ref="I15:I17"/>
    <mergeCell ref="J15:J17"/>
  </mergeCells>
  <phoneticPr fontId="26" type="noConversion"/>
  <hyperlinks>
    <hyperlink ref="H40" r:id="rId1" display="javascript: void(openDocument('49e6dbbd-ef6e-4be0-84fe-147218be9db0'));" xr:uid="{1C7632B7-A9EB-4996-9C82-F94C6A0AE937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F5ADB-384E-4A81-BE5A-35BDE379AC4F}">
  <sheetPr>
    <pageSetUpPr fitToPage="1"/>
  </sheetPr>
  <dimension ref="B1:Q78"/>
  <sheetViews>
    <sheetView showGridLines="0" topLeftCell="A41" zoomScale="85" zoomScaleNormal="85" workbookViewId="0">
      <selection activeCell="G12" sqref="G12"/>
    </sheetView>
  </sheetViews>
  <sheetFormatPr baseColWidth="10" defaultColWidth="11.44140625" defaultRowHeight="12.55"/>
  <cols>
    <col min="1" max="1" width="1.44140625" style="251" customWidth="1"/>
    <col min="2" max="2" width="23.109375" style="251" customWidth="1"/>
    <col min="3" max="3" width="20" style="251" customWidth="1"/>
    <col min="4" max="4" width="19" style="251" customWidth="1"/>
    <col min="5" max="5" width="13.6640625" style="251" bestFit="1" customWidth="1"/>
    <col min="6" max="6" width="23.21875" style="251" customWidth="1"/>
    <col min="7" max="7" width="14.5546875" style="251" customWidth="1"/>
    <col min="8" max="8" width="14.109375" style="251" customWidth="1"/>
    <col min="9" max="9" width="17.33203125" style="251" customWidth="1"/>
    <col min="10" max="10" width="16.6640625" style="251" customWidth="1"/>
    <col min="11" max="11" width="12.109375" style="251" customWidth="1"/>
    <col min="12" max="16384" width="11.44140625" style="251"/>
  </cols>
  <sheetData>
    <row r="1" spans="2:11" ht="47.3" customHeight="1">
      <c r="B1" s="485" t="s">
        <v>37</v>
      </c>
      <c r="C1" s="486"/>
      <c r="D1" s="486"/>
      <c r="E1" s="486"/>
      <c r="F1" s="486"/>
      <c r="G1" s="486"/>
      <c r="H1" s="486"/>
      <c r="I1" s="486"/>
      <c r="J1" s="487"/>
      <c r="K1" s="488"/>
    </row>
    <row r="2" spans="2:11" ht="16.3" customHeight="1">
      <c r="B2" s="489" t="s">
        <v>39</v>
      </c>
      <c r="C2" s="490" t="s">
        <v>40</v>
      </c>
      <c r="D2" s="491"/>
      <c r="E2" s="492"/>
      <c r="F2" s="486"/>
      <c r="G2" s="486"/>
      <c r="H2" s="486"/>
      <c r="I2" s="486"/>
      <c r="J2" s="488"/>
      <c r="K2" s="488"/>
    </row>
    <row r="3" spans="2:11" ht="18.8" customHeight="1">
      <c r="B3" s="489" t="s">
        <v>23</v>
      </c>
      <c r="C3" s="490" t="s">
        <v>307</v>
      </c>
      <c r="D3" s="491"/>
      <c r="E3" s="492"/>
      <c r="F3" s="486"/>
      <c r="G3" s="486"/>
      <c r="H3" s="486"/>
      <c r="I3" s="486"/>
      <c r="J3" s="488"/>
      <c r="K3" s="488"/>
    </row>
    <row r="4" spans="2:11" ht="18.8" customHeight="1">
      <c r="B4" s="493"/>
      <c r="C4" s="486"/>
      <c r="D4" s="486"/>
      <c r="E4" s="488"/>
      <c r="F4" s="486"/>
      <c r="G4" s="486"/>
      <c r="H4" s="905" t="s">
        <v>306</v>
      </c>
      <c r="I4" s="905"/>
      <c r="J4" s="905"/>
      <c r="K4" s="488"/>
    </row>
    <row r="5" spans="2:11" ht="19.899999999999999" customHeight="1">
      <c r="B5" s="489" t="s">
        <v>284</v>
      </c>
      <c r="C5" s="494"/>
      <c r="D5" s="495">
        <v>50</v>
      </c>
      <c r="E5" s="496"/>
      <c r="F5" s="497"/>
      <c r="G5" s="498"/>
      <c r="H5" s="906" t="s">
        <v>285</v>
      </c>
      <c r="I5" s="896"/>
      <c r="J5" s="896"/>
      <c r="K5" s="488"/>
    </row>
    <row r="6" spans="2:11" ht="19.899999999999999" customHeight="1">
      <c r="B6" s="489" t="s">
        <v>286</v>
      </c>
      <c r="C6" s="494"/>
      <c r="D6" s="499">
        <v>0.2</v>
      </c>
      <c r="E6" s="496"/>
      <c r="F6" s="497"/>
      <c r="G6" s="498"/>
      <c r="H6" s="896"/>
      <c r="I6" s="896"/>
      <c r="J6" s="896"/>
      <c r="K6" s="488"/>
    </row>
    <row r="7" spans="2:11" ht="19.899999999999999" customHeight="1">
      <c r="B7" s="489" t="s">
        <v>35</v>
      </c>
      <c r="C7" s="494"/>
      <c r="D7" s="252">
        <f>D5/D6</f>
        <v>250</v>
      </c>
      <c r="E7" s="496"/>
      <c r="F7" s="497"/>
      <c r="G7" s="498"/>
      <c r="H7" s="896"/>
      <c r="I7" s="896"/>
      <c r="J7" s="896"/>
      <c r="K7" s="488"/>
    </row>
    <row r="8" spans="2:11" ht="19.899999999999999" customHeight="1">
      <c r="B8" s="489" t="s">
        <v>36</v>
      </c>
      <c r="C8" s="494"/>
      <c r="D8" s="499">
        <v>225</v>
      </c>
      <c r="E8" s="496"/>
      <c r="F8" s="497"/>
      <c r="G8" s="498"/>
      <c r="H8" s="896" t="s">
        <v>287</v>
      </c>
      <c r="I8" s="896"/>
      <c r="J8" s="896"/>
      <c r="K8" s="488"/>
    </row>
    <row r="9" spans="2:11" ht="19.899999999999999" customHeight="1">
      <c r="B9" s="489" t="s">
        <v>34</v>
      </c>
      <c r="C9" s="494"/>
      <c r="D9" s="10">
        <f>1-(D8/D7)</f>
        <v>9.9999999999999978E-2</v>
      </c>
      <c r="E9" s="496"/>
      <c r="F9" s="497"/>
      <c r="G9" s="498"/>
      <c r="H9" s="896" t="s">
        <v>288</v>
      </c>
      <c r="I9" s="896"/>
      <c r="J9" s="896"/>
      <c r="K9" s="488"/>
    </row>
    <row r="10" spans="2:11" ht="19.899999999999999" customHeight="1">
      <c r="B10" s="489" t="s">
        <v>25</v>
      </c>
      <c r="C10" s="494"/>
      <c r="D10" s="500">
        <v>4.0599999999999996</v>
      </c>
      <c r="E10" s="489" t="s">
        <v>32</v>
      </c>
      <c r="F10" s="501"/>
      <c r="G10" s="253">
        <f>G12/(1+G11)</f>
        <v>4.6698113207547172</v>
      </c>
      <c r="H10" s="896"/>
      <c r="I10" s="896"/>
      <c r="J10" s="896"/>
      <c r="K10" s="488"/>
    </row>
    <row r="11" spans="2:11" ht="19.899999999999999" customHeight="1">
      <c r="B11" s="489" t="s">
        <v>3</v>
      </c>
      <c r="C11" s="494"/>
      <c r="D11" s="502">
        <v>0.06</v>
      </c>
      <c r="E11" s="489" t="s">
        <v>3</v>
      </c>
      <c r="F11" s="501"/>
      <c r="G11" s="503">
        <v>0.06</v>
      </c>
      <c r="H11" s="896"/>
      <c r="I11" s="896"/>
      <c r="J11" s="896"/>
      <c r="K11" s="488"/>
    </row>
    <row r="12" spans="2:11" ht="19.899999999999999" customHeight="1">
      <c r="B12" s="489" t="s">
        <v>33</v>
      </c>
      <c r="C12" s="494"/>
      <c r="D12" s="254">
        <f>D10*(1+D11)</f>
        <v>4.3035999999999994</v>
      </c>
      <c r="E12" s="489" t="s">
        <v>24</v>
      </c>
      <c r="F12" s="501"/>
      <c r="G12" s="504">
        <v>4.95</v>
      </c>
      <c r="H12" s="896"/>
      <c r="I12" s="896"/>
      <c r="J12" s="896"/>
      <c r="K12" s="488"/>
    </row>
    <row r="13" spans="2:11" ht="19.899999999999999" customHeight="1">
      <c r="B13" s="489" t="s">
        <v>289</v>
      </c>
      <c r="C13" s="494"/>
      <c r="D13" s="10">
        <f>G10/D10-1</f>
        <v>0.15019983269820636</v>
      </c>
      <c r="E13" s="505"/>
      <c r="F13" s="505"/>
      <c r="G13" s="505"/>
      <c r="H13" s="896" t="s">
        <v>290</v>
      </c>
      <c r="I13" s="896"/>
      <c r="J13" s="896"/>
      <c r="K13" s="488"/>
    </row>
    <row r="14" spans="2:11" ht="18.8" customHeight="1">
      <c r="B14" s="505"/>
      <c r="C14" s="505"/>
      <c r="D14" s="505"/>
      <c r="E14" s="505"/>
      <c r="F14" s="505"/>
      <c r="G14" s="505"/>
      <c r="H14" s="505"/>
      <c r="I14" s="505"/>
      <c r="J14" s="488"/>
      <c r="K14" s="488"/>
    </row>
    <row r="15" spans="2:11" ht="6.75" customHeight="1" thickBot="1">
      <c r="B15" s="488"/>
      <c r="C15" s="488"/>
      <c r="D15" s="488"/>
      <c r="E15" s="488"/>
      <c r="F15" s="488"/>
      <c r="G15" s="488"/>
      <c r="H15" s="488"/>
      <c r="I15" s="488"/>
      <c r="J15" s="488"/>
      <c r="K15" s="488"/>
    </row>
    <row r="16" spans="2:11" s="255" customFormat="1" ht="45.1" customHeight="1">
      <c r="B16" s="506" t="s">
        <v>4</v>
      </c>
      <c r="C16" s="507" t="s">
        <v>5</v>
      </c>
      <c r="D16" s="508" t="s">
        <v>6</v>
      </c>
      <c r="E16" s="508" t="s">
        <v>7</v>
      </c>
      <c r="F16" s="508" t="s">
        <v>8</v>
      </c>
      <c r="G16" s="508" t="s">
        <v>300</v>
      </c>
      <c r="H16" s="509" t="s">
        <v>30</v>
      </c>
      <c r="I16" s="899" t="s">
        <v>22</v>
      </c>
      <c r="J16" s="899"/>
      <c r="K16" s="900"/>
    </row>
    <row r="17" spans="2:11" s="260" customFormat="1" ht="17.25" customHeight="1">
      <c r="B17" s="477" t="s">
        <v>14</v>
      </c>
      <c r="C17" s="256" t="str">
        <f>IF(ISBLANK(B17),"",_xlfn.XLOOKUP(B17,tblIngredients[Article],tblIngredients[Fournisseur],""))</f>
        <v>Auto</v>
      </c>
      <c r="D17" s="257" t="str">
        <f>IF(ISBLANK(B17),"",_xlfn.XLOOKUP(B17,tblIngredients[Article],tblIngredients[Unité conditionnement],""))</f>
        <v>1 kg</v>
      </c>
      <c r="E17" s="258">
        <f>IF(ISBLANK(B17),"",_xlfn.XLOOKUP(B17,tblIngredients[Article],tblIngredients[Coût d''achat HTVA  à l''unité],""))</f>
        <v>3.5</v>
      </c>
      <c r="F17" s="510">
        <v>50</v>
      </c>
      <c r="G17" s="259">
        <f>IF(OR(F17="",ISBLANK(F17)),"",E17*F17)</f>
        <v>175</v>
      </c>
      <c r="H17" s="11">
        <f>IF(OR(G17="",ISBLANK(G17)),"",G17/G$33)</f>
        <v>0.92115565556674106</v>
      </c>
      <c r="I17" s="511" t="s">
        <v>291</v>
      </c>
      <c r="J17" s="512"/>
      <c r="K17" s="513"/>
    </row>
    <row r="18" spans="2:11" s="260" customFormat="1" ht="17.25" customHeight="1">
      <c r="B18" s="477" t="s">
        <v>15</v>
      </c>
      <c r="C18" s="256" t="str">
        <f>IF(ISBLANK(B18),"",_xlfn.XLOOKUP(B18,tblIngredients[Article],tblIngredients[Fournisseur],""))</f>
        <v>Inbterbio</v>
      </c>
      <c r="D18" s="257" t="str">
        <f>IF(ISBLANK(B18),"",_xlfn.XLOOKUP(B18,tblIngredients[Article],tblIngredients[Unité conditionnement],""))</f>
        <v>1 kg</v>
      </c>
      <c r="E18" s="258">
        <f>IF(ISBLANK(B18),"",_xlfn.XLOOKUP(B18,tblIngredients[Article],tblIngredients[Coût d''achat HTVA  à l''unité],""))</f>
        <v>6</v>
      </c>
      <c r="F18" s="510">
        <v>0.5</v>
      </c>
      <c r="G18" s="259">
        <f t="shared" ref="G18:G32" si="0">IF(OR(F18="",ISBLANK(F18)),"",E18*F18)</f>
        <v>3</v>
      </c>
      <c r="H18" s="11">
        <f t="shared" ref="H18:H32" si="1">IF(OR(G18="",ISBLANK(G18)),"",G18/G$33)</f>
        <v>1.5791239809715561E-2</v>
      </c>
      <c r="I18" s="514"/>
      <c r="J18" s="512"/>
      <c r="K18" s="513"/>
    </row>
    <row r="19" spans="2:11" s="260" customFormat="1" ht="17.25" customHeight="1">
      <c r="B19" s="477" t="s">
        <v>16</v>
      </c>
      <c r="C19" s="256" t="str">
        <f>IF(ISBLANK(B19),"",_xlfn.XLOOKUP(B19,tblIngredients[Article],tblIngredients[Fournisseur],""))</f>
        <v>Interbio</v>
      </c>
      <c r="D19" s="257" t="str">
        <f>IF(ISBLANK(B19),"",_xlfn.XLOOKUP(B19,tblIngredients[Article],tblIngredients[Unité conditionnement],""))</f>
        <v>1 Botte</v>
      </c>
      <c r="E19" s="258">
        <f>IF(ISBLANK(B19),"",_xlfn.XLOOKUP(B19,tblIngredients[Article],tblIngredients[Coût d''achat HTVA  à l''unité],""))</f>
        <v>1.89</v>
      </c>
      <c r="F19" s="510">
        <v>4</v>
      </c>
      <c r="G19" s="259">
        <f t="shared" si="0"/>
        <v>7.56</v>
      </c>
      <c r="H19" s="11">
        <f t="shared" si="1"/>
        <v>3.9793924320483211E-2</v>
      </c>
      <c r="I19" s="514"/>
      <c r="J19" s="512"/>
      <c r="K19" s="513"/>
    </row>
    <row r="20" spans="2:11" s="260" customFormat="1" ht="17.25" customHeight="1">
      <c r="B20" s="477" t="s">
        <v>17</v>
      </c>
      <c r="C20" s="256" t="str">
        <f>IF(ISBLANK(B20),"",_xlfn.XLOOKUP(B20,tblIngredients[Article],tblIngredients[Fournisseur],""))</f>
        <v>Solucious</v>
      </c>
      <c r="D20" s="257" t="str">
        <f>IF(ISBLANK(B20),"",_xlfn.XLOOKUP(B20,tblIngredients[Article],tblIngredients[Unité conditionnement],""))</f>
        <v>1 L</v>
      </c>
      <c r="E20" s="258">
        <f>IF(ISBLANK(B20),"",_xlfn.XLOOKUP(B20,tblIngredients[Article],tblIngredients[Coût d''achat HTVA  à l''unité],""))</f>
        <v>17.649999999999999</v>
      </c>
      <c r="F20" s="510">
        <v>0.25</v>
      </c>
      <c r="G20" s="259">
        <f t="shared" si="0"/>
        <v>4.4124999999999996</v>
      </c>
      <c r="H20" s="11">
        <f t="shared" si="1"/>
        <v>2.3226281886789969E-2</v>
      </c>
      <c r="I20" s="514"/>
      <c r="J20" s="512"/>
      <c r="K20" s="513"/>
    </row>
    <row r="21" spans="2:11" s="260" customFormat="1" ht="17.25" customHeight="1">
      <c r="B21" s="477" t="s">
        <v>391</v>
      </c>
      <c r="C21" s="256" t="str">
        <f>IF(ISBLANK(B21),"",_xlfn.XLOOKUP(B21,tblIngredients[Article],tblIngredients[Fournisseur],""))</f>
        <v>Solucious</v>
      </c>
      <c r="D21" s="257" t="str">
        <f>IF(ISBLANK(B21),"",_xlfn.XLOOKUP(B21,tblIngredients[Article],tblIngredients[Unité conditionnement],""))</f>
        <v>1 Kg</v>
      </c>
      <c r="E21" s="258">
        <f>IF(ISBLANK(B21),"",_xlfn.XLOOKUP(B21,tblIngredients[Article],tblIngredients[Coût d''achat HTVA  à l''unité],""))</f>
        <v>6.25</v>
      </c>
      <c r="F21" s="510">
        <v>1E-3</v>
      </c>
      <c r="G21" s="259">
        <f t="shared" si="0"/>
        <v>6.2500000000000003E-3</v>
      </c>
      <c r="H21" s="11">
        <f t="shared" si="1"/>
        <v>3.2898416270240753E-5</v>
      </c>
      <c r="I21" s="514"/>
      <c r="J21" s="512"/>
      <c r="K21" s="513"/>
    </row>
    <row r="22" spans="2:11" s="260" customFormat="1" ht="17.25" customHeight="1">
      <c r="B22" s="477"/>
      <c r="C22" s="256" t="str">
        <f>IF(ISBLANK(B22),"",_xlfn.XLOOKUP(B22,tblIngredients[Article],tblIngredients[Fournisseur],""))</f>
        <v/>
      </c>
      <c r="D22" s="257" t="str">
        <f>IF(ISBLANK(B22),"",_xlfn.XLOOKUP(B22,tblIngredients[Article],tblIngredients[Unité conditionnement],""))</f>
        <v/>
      </c>
      <c r="E22" s="258" t="str">
        <f>IF(ISBLANK(B22),"",_xlfn.XLOOKUP(B22,tblIngredients[Article],tblIngredients[Coût d''achat HTVA  à l''unité],""))</f>
        <v/>
      </c>
      <c r="F22" s="510"/>
      <c r="G22" s="259" t="str">
        <f t="shared" si="0"/>
        <v/>
      </c>
      <c r="H22" s="11" t="str">
        <f t="shared" si="1"/>
        <v/>
      </c>
      <c r="I22" s="514"/>
      <c r="J22" s="512"/>
      <c r="K22" s="513"/>
    </row>
    <row r="23" spans="2:11" s="260" customFormat="1" ht="17.25" customHeight="1">
      <c r="B23" s="477"/>
      <c r="C23" s="256" t="str">
        <f>IF(ISBLANK(B23),"",_xlfn.XLOOKUP(B23,tblIngredients[Article],tblIngredients[Fournisseur],""))</f>
        <v/>
      </c>
      <c r="D23" s="257" t="str">
        <f>IF(ISBLANK(B23),"",_xlfn.XLOOKUP(B23,tblIngredients[Article],tblIngredients[Unité conditionnement],""))</f>
        <v/>
      </c>
      <c r="E23" s="258" t="str">
        <f>IF(ISBLANK(B23),"",_xlfn.XLOOKUP(B23,tblIngredients[Article],tblIngredients[Coût d''achat HTVA  à l''unité],""))</f>
        <v/>
      </c>
      <c r="F23" s="510"/>
      <c r="G23" s="259" t="str">
        <f t="shared" si="0"/>
        <v/>
      </c>
      <c r="H23" s="11" t="str">
        <f t="shared" si="1"/>
        <v/>
      </c>
      <c r="I23" s="514"/>
      <c r="J23" s="512"/>
      <c r="K23" s="513"/>
    </row>
    <row r="24" spans="2:11" s="260" customFormat="1" ht="17.25" customHeight="1">
      <c r="B24" s="477"/>
      <c r="C24" s="256" t="str">
        <f>IF(ISBLANK(B24),"",_xlfn.XLOOKUP(B24,tblIngredients[Article],tblIngredients[Fournisseur],""))</f>
        <v/>
      </c>
      <c r="D24" s="257" t="str">
        <f>IF(ISBLANK(B24),"",_xlfn.XLOOKUP(B24,tblIngredients[Article],tblIngredients[Unité conditionnement],""))</f>
        <v/>
      </c>
      <c r="E24" s="258" t="str">
        <f>IF(ISBLANK(B24),"",_xlfn.XLOOKUP(B24,tblIngredients[Article],tblIngredients[Coût d''achat HTVA  à l''unité],""))</f>
        <v/>
      </c>
      <c r="F24" s="510"/>
      <c r="G24" s="259" t="str">
        <f t="shared" si="0"/>
        <v/>
      </c>
      <c r="H24" s="11" t="str">
        <f t="shared" si="1"/>
        <v/>
      </c>
      <c r="I24" s="514"/>
      <c r="J24" s="512"/>
      <c r="K24" s="513"/>
    </row>
    <row r="25" spans="2:11" s="260" customFormat="1" ht="17.25" customHeight="1">
      <c r="B25" s="477"/>
      <c r="C25" s="256" t="str">
        <f>IF(ISBLANK(B25),"",_xlfn.XLOOKUP(B25,tblIngredients[Article],tblIngredients[Fournisseur],""))</f>
        <v/>
      </c>
      <c r="D25" s="257" t="str">
        <f>IF(ISBLANK(B25),"",_xlfn.XLOOKUP(B25,tblIngredients[Article],tblIngredients[Unité conditionnement],""))</f>
        <v/>
      </c>
      <c r="E25" s="258" t="str">
        <f>IF(ISBLANK(B25),"",_xlfn.XLOOKUP(B25,tblIngredients[Article],tblIngredients[Coût d''achat HTVA  à l''unité],""))</f>
        <v/>
      </c>
      <c r="F25" s="510"/>
      <c r="G25" s="259" t="str">
        <f t="shared" ref="G25:G27" si="2">IF(OR(F25="",ISBLANK(F25)),"",E25*F25)</f>
        <v/>
      </c>
      <c r="H25" s="11" t="str">
        <f t="shared" ref="H25:H27" si="3">IF(OR(G25="",ISBLANK(G25)),"",G25/G$33)</f>
        <v/>
      </c>
      <c r="I25" s="514"/>
      <c r="J25" s="512"/>
      <c r="K25" s="513"/>
    </row>
    <row r="26" spans="2:11" s="260" customFormat="1" ht="17.25" customHeight="1">
      <c r="B26" s="477"/>
      <c r="C26" s="256" t="str">
        <f>IF(ISBLANK(B26),"",_xlfn.XLOOKUP(B26,tblIngredients[Article],tblIngredients[Fournisseur],""))</f>
        <v/>
      </c>
      <c r="D26" s="257" t="str">
        <f>IF(ISBLANK(B26),"",_xlfn.XLOOKUP(B26,tblIngredients[Article],tblIngredients[Unité conditionnement],""))</f>
        <v/>
      </c>
      <c r="E26" s="258" t="str">
        <f>IF(ISBLANK(B26),"",_xlfn.XLOOKUP(B26,tblIngredients[Article],tblIngredients[Coût d''achat HTVA  à l''unité],""))</f>
        <v/>
      </c>
      <c r="F26" s="510"/>
      <c r="G26" s="259" t="str">
        <f t="shared" si="2"/>
        <v/>
      </c>
      <c r="H26" s="11" t="str">
        <f t="shared" si="3"/>
        <v/>
      </c>
      <c r="I26" s="514"/>
      <c r="J26" s="512"/>
      <c r="K26" s="513"/>
    </row>
    <row r="27" spans="2:11" s="260" customFormat="1" ht="17.25" customHeight="1">
      <c r="B27" s="477"/>
      <c r="C27" s="256" t="str">
        <f>IF(ISBLANK(B27),"",_xlfn.XLOOKUP(B27,tblIngredients[Article],tblIngredients[Fournisseur],""))</f>
        <v/>
      </c>
      <c r="D27" s="257" t="str">
        <f>IF(ISBLANK(B27),"",_xlfn.XLOOKUP(B27,tblIngredients[Article],tblIngredients[Unité conditionnement],""))</f>
        <v/>
      </c>
      <c r="E27" s="258" t="str">
        <f>IF(ISBLANK(B27),"",_xlfn.XLOOKUP(B27,tblIngredients[Article],tblIngredients[Coût d''achat HTVA  à l''unité],""))</f>
        <v/>
      </c>
      <c r="F27" s="510"/>
      <c r="G27" s="259" t="str">
        <f t="shared" si="2"/>
        <v/>
      </c>
      <c r="H27" s="11" t="str">
        <f t="shared" si="3"/>
        <v/>
      </c>
      <c r="I27" s="514"/>
      <c r="J27" s="512"/>
      <c r="K27" s="513"/>
    </row>
    <row r="28" spans="2:11" s="260" customFormat="1" ht="17.25" customHeight="1">
      <c r="B28" s="477"/>
      <c r="C28" s="256"/>
      <c r="D28" s="257"/>
      <c r="E28" s="258"/>
      <c r="F28" s="510"/>
      <c r="G28" s="259"/>
      <c r="H28" s="11"/>
      <c r="I28" s="514"/>
      <c r="J28" s="512"/>
      <c r="K28" s="513"/>
    </row>
    <row r="29" spans="2:11" s="260" customFormat="1" ht="17.25" customHeight="1">
      <c r="B29" s="477"/>
      <c r="C29" s="256" t="str">
        <f>IF(ISBLANK(B29),"",_xlfn.XLOOKUP(B29,tblIngredients[Article],tblIngredients[Fournisseur],""))</f>
        <v/>
      </c>
      <c r="D29" s="257" t="str">
        <f>IF(ISBLANK(B29),"",_xlfn.XLOOKUP(B29,tblIngredients[Article],tblIngredients[Unité conditionnement],""))</f>
        <v/>
      </c>
      <c r="E29" s="258" t="str">
        <f>IF(ISBLANK(B29),"",_xlfn.XLOOKUP(B29,tblIngredients[Article],tblIngredients[Coût d''achat HTVA  à l''unité],""))</f>
        <v/>
      </c>
      <c r="F29" s="510"/>
      <c r="G29" s="259" t="str">
        <f t="shared" si="0"/>
        <v/>
      </c>
      <c r="H29" s="11" t="str">
        <f t="shared" si="1"/>
        <v/>
      </c>
      <c r="I29" s="514"/>
      <c r="J29" s="512"/>
      <c r="K29" s="513"/>
    </row>
    <row r="30" spans="2:11" s="260" customFormat="1" ht="17.25" customHeight="1">
      <c r="B30" s="477"/>
      <c r="C30" s="256" t="str">
        <f>IF(ISBLANK(B30),"",_xlfn.XLOOKUP(B30,tblIngredients[Article],tblIngredients[Fournisseur],""))</f>
        <v/>
      </c>
      <c r="D30" s="257" t="str">
        <f>IF(ISBLANK(B30),"",_xlfn.XLOOKUP(B30,tblIngredients[Article],tblIngredients[Unité conditionnement],""))</f>
        <v/>
      </c>
      <c r="E30" s="258" t="str">
        <f>IF(ISBLANK(B30),"",_xlfn.XLOOKUP(B30,tblIngredients[Article],tblIngredients[Coût d''achat HTVA  à l''unité],""))</f>
        <v/>
      </c>
      <c r="F30" s="510"/>
      <c r="G30" s="259" t="str">
        <f t="shared" si="0"/>
        <v/>
      </c>
      <c r="H30" s="11" t="str">
        <f t="shared" si="1"/>
        <v/>
      </c>
      <c r="I30" s="514"/>
      <c r="J30" s="512"/>
      <c r="K30" s="513"/>
    </row>
    <row r="31" spans="2:11" s="260" customFormat="1" ht="17.25" customHeight="1">
      <c r="B31" s="477"/>
      <c r="C31" s="256" t="str">
        <f>IF(ISBLANK(B31),"",_xlfn.XLOOKUP(B31,tblIngredients[Article],tblIngredients[Fournisseur],""))</f>
        <v/>
      </c>
      <c r="D31" s="257" t="str">
        <f>IF(ISBLANK(B31),"",_xlfn.XLOOKUP(B31,tblIngredients[Article],tblIngredients[Unité conditionnement],""))</f>
        <v/>
      </c>
      <c r="E31" s="258" t="str">
        <f>IF(ISBLANK(B31),"",_xlfn.XLOOKUP(B31,tblIngredients[Article],tblIngredients[Coût d''achat HTVA  à l''unité],""))</f>
        <v/>
      </c>
      <c r="F31" s="510"/>
      <c r="G31" s="259" t="str">
        <f t="shared" si="0"/>
        <v/>
      </c>
      <c r="H31" s="11" t="str">
        <f t="shared" si="1"/>
        <v/>
      </c>
      <c r="I31" s="514"/>
      <c r="J31" s="512"/>
      <c r="K31" s="513"/>
    </row>
    <row r="32" spans="2:11" s="260" customFormat="1" ht="17.25" customHeight="1">
      <c r="B32" s="477"/>
      <c r="C32" s="256" t="str">
        <f>IF(ISBLANK(B32),"",_xlfn.XLOOKUP(B32,tblIngredients[Article],tblIngredients[Fournisseur],""))</f>
        <v/>
      </c>
      <c r="D32" s="257" t="str">
        <f>IF(ISBLANK(B32),"",_xlfn.XLOOKUP(B32,tblIngredients[Article],tblIngredients[Unité conditionnement],""))</f>
        <v/>
      </c>
      <c r="E32" s="258" t="str">
        <f>IF(ISBLANK(B32),"",_xlfn.XLOOKUP(B32,tblIngredients[Article],tblIngredients[Coût d''achat HTVA  à l''unité],""))</f>
        <v/>
      </c>
      <c r="F32" s="510"/>
      <c r="G32" s="259" t="str">
        <f t="shared" si="0"/>
        <v/>
      </c>
      <c r="H32" s="11" t="str">
        <f t="shared" si="1"/>
        <v/>
      </c>
      <c r="I32" s="514"/>
      <c r="J32" s="512"/>
      <c r="K32" s="513"/>
    </row>
    <row r="33" spans="2:11" s="260" customFormat="1" ht="17.25" customHeight="1">
      <c r="B33" s="904" t="s">
        <v>29</v>
      </c>
      <c r="C33" s="904"/>
      <c r="D33" s="904"/>
      <c r="E33" s="904"/>
      <c r="F33" s="904"/>
      <c r="G33" s="261">
        <f>SUM(G17:G32)</f>
        <v>189.97874999999999</v>
      </c>
      <c r="H33" s="12">
        <f>IF(G33="","",G33/G$45)</f>
        <v>0.72032302138783477</v>
      </c>
      <c r="I33" s="262"/>
      <c r="J33" s="263"/>
      <c r="K33" s="264"/>
    </row>
    <row r="34" spans="2:11" s="260" customFormat="1" ht="17.25" customHeight="1">
      <c r="B34" s="477" t="s">
        <v>19</v>
      </c>
      <c r="C34" s="256" t="str">
        <f>IF(ISBLANK(B34),"",_xlfn.XLOOKUP(B34,tblConsommables[Article],tblConsommables[Fournisseur],""))</f>
        <v>Grossiste</v>
      </c>
      <c r="D34" s="257" t="str">
        <f>IF(ISBLANK(B34),"",_xlfn.XLOOKUP(B34,tblConsommables[Article],tblConsommables[Unité conditionnement],""))</f>
        <v>Unité</v>
      </c>
      <c r="E34" s="258">
        <f>IF(ISBLANK(B34),"",_xlfn.XLOOKUP(B34,tblConsommables[Article],tblConsommables[Coût d''achat HTVA  à l''unité],""))</f>
        <v>0.154</v>
      </c>
      <c r="F34" s="515">
        <v>230</v>
      </c>
      <c r="G34" s="265">
        <f>IF(OR(F34="",ISBLANK(F34)),"",E34*F34)</f>
        <v>35.42</v>
      </c>
      <c r="H34" s="13">
        <f>IF(OR(G34="",ISBLANK(G34)),"",G34/G$43)</f>
        <v>0.48988285410010646</v>
      </c>
      <c r="I34" s="514"/>
      <c r="J34" s="512"/>
      <c r="K34" s="516"/>
    </row>
    <row r="35" spans="2:11" s="260" customFormat="1" ht="17.25" customHeight="1">
      <c r="B35" s="477" t="s">
        <v>38</v>
      </c>
      <c r="C35" s="256" t="str">
        <f>IF(ISBLANK(B35),"",_xlfn.XLOOKUP(B35,tblConsommables[Article],tblConsommables[Fournisseur],""))</f>
        <v>Grossiste</v>
      </c>
      <c r="D35" s="257" t="str">
        <f>IF(ISBLANK(B35),"",_xlfn.XLOOKUP(B35,tblConsommables[Article],tblConsommables[Unité conditionnement],""))</f>
        <v>Unité</v>
      </c>
      <c r="E35" s="258">
        <f>IF(ISBLANK(B35),"",_xlfn.XLOOKUP(B35,tblConsommables[Article],tblConsommables[Coût d''achat HTVA  à l''unité],""))</f>
        <v>0.12</v>
      </c>
      <c r="F35" s="515">
        <v>250</v>
      </c>
      <c r="G35" s="265">
        <f t="shared" ref="G35:G42" si="4">IF(OR(F35="",ISBLANK(F35)),"",E35*F35)</f>
        <v>30</v>
      </c>
      <c r="H35" s="13">
        <f t="shared" ref="H35:H42" si="5">IF(OR(G35="",ISBLANK(G35)),"",G35/G$43)</f>
        <v>0.41492054271606982</v>
      </c>
      <c r="I35" s="514"/>
      <c r="J35" s="512"/>
      <c r="K35" s="516"/>
    </row>
    <row r="36" spans="2:11" s="260" customFormat="1" ht="17.25" customHeight="1">
      <c r="B36" s="477" t="s">
        <v>27</v>
      </c>
      <c r="C36" s="256" t="str">
        <f>IF(ISBLANK(B36),"",_xlfn.XLOOKUP(B36,tblConsommables[Article],tblConsommables[Fournisseur],""))</f>
        <v>Grossiste</v>
      </c>
      <c r="D36" s="257" t="str">
        <f>IF(ISBLANK(B36),"",_xlfn.XLOOKUP(B36,tblConsommables[Article],tblConsommables[Unité conditionnement],""))</f>
        <v>Rack de 1000</v>
      </c>
      <c r="E36" s="258">
        <f>IF(ISBLANK(B36),"",_xlfn.XLOOKUP(B36,tblConsommables[Article],tblConsommables[Coût d''achat HTVA  à l''unité],""))</f>
        <v>27.3</v>
      </c>
      <c r="F36" s="515">
        <v>0.25</v>
      </c>
      <c r="G36" s="265">
        <f t="shared" si="4"/>
        <v>6.8250000000000002</v>
      </c>
      <c r="H36" s="13">
        <f t="shared" si="5"/>
        <v>9.4394423467905886E-2</v>
      </c>
      <c r="I36" s="514"/>
      <c r="J36" s="512"/>
      <c r="K36" s="516"/>
    </row>
    <row r="37" spans="2:11" s="260" customFormat="1" ht="17.25" customHeight="1">
      <c r="B37" s="477" t="s">
        <v>402</v>
      </c>
      <c r="C37" s="256" t="str">
        <f>IF(ISBLANK(B37),"",_xlfn.XLOOKUP(B37,tblConsommables[Article],tblConsommables[Fournisseur],""))</f>
        <v>Grossiste</v>
      </c>
      <c r="D37" s="257" t="str">
        <f>IF(ISBLANK(B37),"",_xlfn.XLOOKUP(B37,tblConsommables[Article],tblConsommables[Unité conditionnement],""))</f>
        <v>Rack de 1000</v>
      </c>
      <c r="E37" s="258">
        <f>IF(ISBLANK(B37),"",_xlfn.XLOOKUP(B37,tblConsommables[Article],tblConsommables[Coût d''achat HTVA  à l''unité],""))</f>
        <v>58</v>
      </c>
      <c r="F37" s="515">
        <v>1E-3</v>
      </c>
      <c r="G37" s="265">
        <f t="shared" si="4"/>
        <v>5.8000000000000003E-2</v>
      </c>
      <c r="H37" s="13">
        <f t="shared" si="5"/>
        <v>8.0217971591773501E-4</v>
      </c>
      <c r="I37" s="514"/>
      <c r="J37" s="512"/>
      <c r="K37" s="516"/>
    </row>
    <row r="38" spans="2:11" s="260" customFormat="1" ht="17.25" customHeight="1">
      <c r="B38" s="477"/>
      <c r="C38" s="256" t="str">
        <f>IF(ISBLANK(B38),"",_xlfn.XLOOKUP(B38,tblConsommables[Article],tblConsommables[Fournisseur],""))</f>
        <v/>
      </c>
      <c r="D38" s="257" t="str">
        <f>IF(ISBLANK(B38),"",_xlfn.XLOOKUP(B38,tblConsommables[Article],tblConsommables[Unité conditionnement],""))</f>
        <v/>
      </c>
      <c r="E38" s="258" t="str">
        <f>IF(ISBLANK(B38),"",_xlfn.XLOOKUP(B38,tblConsommables[Article],tblConsommables[Coût d''achat HTVA  à l''unité],""))</f>
        <v/>
      </c>
      <c r="F38" s="515"/>
      <c r="G38" s="265" t="str">
        <f t="shared" si="4"/>
        <v/>
      </c>
      <c r="H38" s="13" t="str">
        <f t="shared" si="5"/>
        <v/>
      </c>
      <c r="I38" s="514"/>
      <c r="J38" s="512"/>
      <c r="K38" s="516"/>
    </row>
    <row r="39" spans="2:11" s="260" customFormat="1" ht="17.25" customHeight="1">
      <c r="B39" s="477"/>
      <c r="C39" s="256" t="str">
        <f>IF(ISBLANK(B39),"",_xlfn.XLOOKUP(B39,tblConsommables[Article],tblConsommables[Fournisseur],""))</f>
        <v/>
      </c>
      <c r="D39" s="257" t="str">
        <f>IF(ISBLANK(B39),"",_xlfn.XLOOKUP(B39,tblConsommables[Article],tblConsommables[Unité conditionnement],""))</f>
        <v/>
      </c>
      <c r="E39" s="258" t="str">
        <f>IF(ISBLANK(B39),"",_xlfn.XLOOKUP(B39,tblConsommables[Article],tblConsommables[Coût d''achat HTVA  à l''unité],""))</f>
        <v/>
      </c>
      <c r="F39" s="515"/>
      <c r="G39" s="265" t="str">
        <f t="shared" si="4"/>
        <v/>
      </c>
      <c r="H39" s="13" t="str">
        <f t="shared" si="5"/>
        <v/>
      </c>
      <c r="I39" s="514"/>
      <c r="J39" s="512"/>
      <c r="K39" s="516"/>
    </row>
    <row r="40" spans="2:11" s="260" customFormat="1" ht="17.25" customHeight="1">
      <c r="B40" s="477"/>
      <c r="C40" s="256" t="str">
        <f>IF(ISBLANK(B40),"",_xlfn.XLOOKUP(B40,tblConsommables[Article],tblConsommables[Fournisseur],""))</f>
        <v/>
      </c>
      <c r="D40" s="257" t="str">
        <f>IF(ISBLANK(B40),"",_xlfn.XLOOKUP(B40,tblConsommables[Article],tblConsommables[Unité conditionnement],""))</f>
        <v/>
      </c>
      <c r="E40" s="258" t="str">
        <f>IF(ISBLANK(B40),"",_xlfn.XLOOKUP(B40,tblConsommables[Article],tblConsommables[Coût d''achat HTVA  à l''unité],""))</f>
        <v/>
      </c>
      <c r="F40" s="515"/>
      <c r="G40" s="265" t="str">
        <f t="shared" si="4"/>
        <v/>
      </c>
      <c r="H40" s="13" t="str">
        <f t="shared" si="5"/>
        <v/>
      </c>
      <c r="I40" s="514"/>
      <c r="J40" s="512"/>
      <c r="K40" s="516"/>
    </row>
    <row r="41" spans="2:11" s="260" customFormat="1" ht="17.25" customHeight="1">
      <c r="B41" s="477"/>
      <c r="C41" s="256" t="str">
        <f>IF(ISBLANK(B41),"",_xlfn.XLOOKUP(B41,tblConsommables[Article],tblConsommables[Fournisseur],""))</f>
        <v/>
      </c>
      <c r="D41" s="257" t="str">
        <f>IF(ISBLANK(B41),"",_xlfn.XLOOKUP(B41,tblConsommables[Article],tblConsommables[Unité conditionnement],""))</f>
        <v/>
      </c>
      <c r="E41" s="258" t="str">
        <f>IF(ISBLANK(B41),"",_xlfn.XLOOKUP(B41,tblConsommables[Article],tblConsommables[Coût d''achat HTVA  à l''unité],""))</f>
        <v/>
      </c>
      <c r="F41" s="515"/>
      <c r="G41" s="265" t="str">
        <f t="shared" si="4"/>
        <v/>
      </c>
      <c r="H41" s="13" t="str">
        <f t="shared" si="5"/>
        <v/>
      </c>
      <c r="I41" s="514"/>
      <c r="J41" s="512"/>
      <c r="K41" s="516"/>
    </row>
    <row r="42" spans="2:11" s="260" customFormat="1" ht="17.25" customHeight="1" thickBot="1">
      <c r="B42" s="477"/>
      <c r="C42" s="256" t="str">
        <f>IF(ISBLANK(B42),"",_xlfn.XLOOKUP(B42,tblConsommables[Article],tblConsommables[Fournisseur],""))</f>
        <v/>
      </c>
      <c r="D42" s="257" t="str">
        <f>IF(ISBLANK(B42),"",_xlfn.XLOOKUP(B42,tblConsommables[Article],tblConsommables[Unité conditionnement],""))</f>
        <v/>
      </c>
      <c r="E42" s="258" t="str">
        <f>IF(ISBLANK(B42),"",_xlfn.XLOOKUP(B42,tblConsommables[Article],tblConsommables[Coût d''achat HTVA  à l''unité],""))</f>
        <v/>
      </c>
      <c r="F42" s="517"/>
      <c r="G42" s="265" t="str">
        <f t="shared" si="4"/>
        <v/>
      </c>
      <c r="H42" s="13" t="str">
        <f t="shared" si="5"/>
        <v/>
      </c>
      <c r="I42" s="514"/>
      <c r="J42" s="512"/>
      <c r="K42" s="516"/>
    </row>
    <row r="43" spans="2:11" s="260" customFormat="1" ht="17.25" customHeight="1" thickBot="1">
      <c r="B43" s="897" t="s">
        <v>31</v>
      </c>
      <c r="C43" s="898"/>
      <c r="D43" s="898"/>
      <c r="E43" s="898"/>
      <c r="F43" s="898"/>
      <c r="G43" s="266">
        <f>SUM(G34:G42)</f>
        <v>72.303000000000011</v>
      </c>
      <c r="H43" s="14">
        <f>IF(G43="","",G43/G$45)</f>
        <v>0.27414389985935073</v>
      </c>
      <c r="I43" s="267"/>
      <c r="J43" s="267"/>
      <c r="K43" s="267"/>
    </row>
    <row r="44" spans="2:11" s="260" customFormat="1" ht="17.25" customHeight="1">
      <c r="B44" s="897" t="s">
        <v>180</v>
      </c>
      <c r="C44" s="898"/>
      <c r="D44" s="898"/>
      <c r="E44" s="898"/>
      <c r="F44" s="898"/>
      <c r="G44" s="268">
        <f>J73</f>
        <v>1.4593</v>
      </c>
      <c r="H44" s="14">
        <f>IF(G44="","",G44/G$45)</f>
        <v>5.5330787528145515E-3</v>
      </c>
      <c r="I44" s="269"/>
      <c r="J44" s="267"/>
      <c r="K44" s="267"/>
    </row>
    <row r="45" spans="2:11" s="260" customFormat="1" ht="17.25" customHeight="1">
      <c r="B45" s="518" t="s">
        <v>292</v>
      </c>
      <c r="C45" s="519"/>
      <c r="D45" s="519"/>
      <c r="E45" s="519"/>
      <c r="F45" s="520"/>
      <c r="G45" s="270">
        <f>SUM(G33,G43,G44)</f>
        <v>263.74104999999997</v>
      </c>
      <c r="H45" s="15">
        <f>IF(G45="","",G45/G$45)</f>
        <v>1</v>
      </c>
      <c r="I45" s="521"/>
      <c r="J45" s="521"/>
      <c r="K45" s="521"/>
    </row>
    <row r="46" spans="2:11" s="260" customFormat="1" ht="17.25" customHeight="1">
      <c r="B46" s="489" t="s">
        <v>293</v>
      </c>
      <c r="C46" s="522"/>
      <c r="D46" s="522"/>
      <c r="E46" s="522"/>
      <c r="F46" s="523"/>
      <c r="G46" s="270">
        <f>G45/D8</f>
        <v>1.1721824444444444</v>
      </c>
      <c r="H46" s="524"/>
      <c r="I46" s="521"/>
      <c r="J46" s="521"/>
      <c r="K46" s="521"/>
    </row>
    <row r="47" spans="2:11" s="260" customFormat="1" ht="17.25" customHeight="1">
      <c r="B47" s="521"/>
      <c r="C47" s="521"/>
      <c r="D47" s="521"/>
      <c r="E47" s="521"/>
      <c r="F47" s="521"/>
      <c r="G47" s="521"/>
      <c r="H47" s="525"/>
      <c r="I47" s="521"/>
      <c r="J47" s="521"/>
      <c r="K47" s="521"/>
    </row>
    <row r="48" spans="2:11" s="260" customFormat="1" ht="17.25" customHeight="1">
      <c r="B48" s="901" t="s">
        <v>294</v>
      </c>
      <c r="C48" s="902"/>
      <c r="D48" s="902"/>
      <c r="E48" s="902"/>
      <c r="F48" s="902"/>
      <c r="G48" s="903"/>
      <c r="H48" s="526"/>
      <c r="I48" s="901" t="s">
        <v>26</v>
      </c>
      <c r="J48" s="902"/>
      <c r="K48" s="903"/>
    </row>
    <row r="49" spans="2:17" s="260" customFormat="1" ht="17.25" customHeight="1">
      <c r="B49" s="489" t="s">
        <v>295</v>
      </c>
      <c r="C49" s="527"/>
      <c r="D49" s="527"/>
      <c r="E49" s="528"/>
      <c r="F49" s="529"/>
      <c r="G49" s="271">
        <f>D10</f>
        <v>4.0599999999999996</v>
      </c>
      <c r="H49" s="530"/>
      <c r="I49" s="489" t="s">
        <v>9</v>
      </c>
      <c r="J49" s="523"/>
      <c r="K49" s="271">
        <f>G10</f>
        <v>4.6698113207547172</v>
      </c>
    </row>
    <row r="50" spans="2:17" s="260" customFormat="1" ht="17.25" customHeight="1">
      <c r="B50" s="489" t="s">
        <v>296</v>
      </c>
      <c r="C50" s="527"/>
      <c r="D50" s="527"/>
      <c r="E50" s="522"/>
      <c r="F50" s="531"/>
      <c r="G50" s="272">
        <f>G49-G46</f>
        <v>2.8878175555555554</v>
      </c>
      <c r="H50" s="532"/>
      <c r="I50" s="489" t="s">
        <v>10</v>
      </c>
      <c r="J50" s="523"/>
      <c r="K50" s="272">
        <f>K49-G46</f>
        <v>3.497628876310273</v>
      </c>
    </row>
    <row r="51" spans="2:17" s="260" customFormat="1" ht="17.25" customHeight="1">
      <c r="B51" s="489" t="s">
        <v>410</v>
      </c>
      <c r="C51" s="527"/>
      <c r="D51" s="527"/>
      <c r="E51" s="522"/>
      <c r="F51" s="529"/>
      <c r="G51" s="272">
        <f>G50*$D8</f>
        <v>649.75894999999991</v>
      </c>
      <c r="H51" s="532"/>
      <c r="I51" s="489" t="s">
        <v>410</v>
      </c>
      <c r="J51" s="523"/>
      <c r="K51" s="272">
        <f>K50*$D8</f>
        <v>786.96649716981142</v>
      </c>
    </row>
    <row r="52" spans="2:17" s="260" customFormat="1" ht="17.25" customHeight="1">
      <c r="B52" s="489" t="s">
        <v>411</v>
      </c>
      <c r="C52" s="527"/>
      <c r="D52" s="527"/>
      <c r="E52" s="522"/>
      <c r="F52" s="529"/>
      <c r="G52" s="272">
        <f>G51/($C73*(1/60))</f>
        <v>135.36644791666666</v>
      </c>
      <c r="H52" s="532"/>
      <c r="I52" s="489" t="s">
        <v>411</v>
      </c>
      <c r="J52" s="523"/>
      <c r="K52" s="272">
        <f>K51/($C73*(1/60))</f>
        <v>163.95135357704405</v>
      </c>
    </row>
    <row r="53" spans="2:17" s="260" customFormat="1" ht="17.25" customHeight="1">
      <c r="B53" s="489" t="s">
        <v>297</v>
      </c>
      <c r="C53" s="527"/>
      <c r="D53" s="527"/>
      <c r="E53" s="522"/>
      <c r="F53" s="529"/>
      <c r="G53" s="16">
        <f>G50/$G$46</f>
        <v>2.4636246424286243</v>
      </c>
      <c r="H53" s="533"/>
      <c r="I53" s="489" t="s">
        <v>11</v>
      </c>
      <c r="J53" s="523"/>
      <c r="K53" s="16">
        <f>K50/$G$46</f>
        <v>2.9838604842507888</v>
      </c>
    </row>
    <row r="54" spans="2:17" s="260" customFormat="1" ht="17.25" customHeight="1" thickBot="1">
      <c r="B54" s="489" t="s">
        <v>12</v>
      </c>
      <c r="C54" s="527"/>
      <c r="D54" s="527"/>
      <c r="E54" s="522"/>
      <c r="F54" s="529"/>
      <c r="G54" s="273">
        <f>G49/$G$46</f>
        <v>3.4636246424286243</v>
      </c>
      <c r="H54" s="530"/>
      <c r="I54" s="489" t="s">
        <v>12</v>
      </c>
      <c r="J54" s="523"/>
      <c r="K54" s="273">
        <f>K49/$G$46</f>
        <v>3.9838604842507883</v>
      </c>
    </row>
    <row r="55" spans="2:17" ht="14.4">
      <c r="B55" s="489" t="s">
        <v>13</v>
      </c>
      <c r="C55" s="527"/>
      <c r="D55" s="527"/>
      <c r="E55" s="534"/>
      <c r="F55" s="535"/>
      <c r="G55" s="17">
        <f>G46/G49</f>
        <v>0.28871488779419818</v>
      </c>
      <c r="H55" s="488"/>
      <c r="I55" s="489" t="s">
        <v>13</v>
      </c>
      <c r="J55" s="523"/>
      <c r="K55" s="17">
        <f>G46/K49</f>
        <v>0.25101280628507294</v>
      </c>
      <c r="L55" s="260"/>
      <c r="M55" s="260"/>
      <c r="N55" s="260"/>
      <c r="O55" s="260"/>
      <c r="P55" s="260"/>
      <c r="Q55" s="260"/>
    </row>
    <row r="56" spans="2:17" ht="15.05" thickBot="1">
      <c r="B56" s="489" t="s">
        <v>403</v>
      </c>
      <c r="C56" s="488"/>
      <c r="D56" s="488"/>
      <c r="E56" s="488"/>
      <c r="F56" s="536"/>
      <c r="G56" s="274">
        <f ca="1">'4. CHARGES FIXES'!J18/(1-G55)</f>
        <v>73050.390517344262</v>
      </c>
      <c r="H56" s="488"/>
      <c r="I56" s="489" t="s">
        <v>405</v>
      </c>
      <c r="J56" s="488"/>
      <c r="K56" s="274">
        <f ca="1">'4. CHARGES FIXES'!J18/(1-K55)</f>
        <v>69373.222468718581</v>
      </c>
      <c r="L56" s="260"/>
      <c r="M56" s="260"/>
      <c r="N56" s="260"/>
      <c r="O56" s="260"/>
      <c r="P56" s="260"/>
      <c r="Q56" s="260"/>
    </row>
    <row r="57" spans="2:17" ht="15.05" thickBot="1">
      <c r="B57" s="537" t="s">
        <v>404</v>
      </c>
      <c r="C57" s="488"/>
      <c r="D57" s="488"/>
      <c r="E57" s="488"/>
      <c r="F57" s="536"/>
      <c r="G57" s="275">
        <f ca="1">G56/G49</f>
        <v>17992.707023976422</v>
      </c>
      <c r="H57" s="488"/>
      <c r="I57" s="489" t="s">
        <v>406</v>
      </c>
      <c r="J57" s="488"/>
      <c r="K57" s="275">
        <f ca="1">K56/K49</f>
        <v>14855.679962998322</v>
      </c>
      <c r="L57" s="260"/>
      <c r="M57" s="260"/>
      <c r="N57" s="260"/>
      <c r="O57" s="260"/>
      <c r="P57" s="260"/>
      <c r="Q57" s="260"/>
    </row>
    <row r="58" spans="2:17" ht="15.05" thickBot="1">
      <c r="B58" s="488"/>
      <c r="C58" s="488"/>
      <c r="D58" s="488"/>
      <c r="E58" s="488"/>
      <c r="F58" s="536"/>
      <c r="G58" s="488"/>
      <c r="H58" s="488"/>
      <c r="I58" s="488"/>
      <c r="J58" s="488"/>
      <c r="K58" s="521"/>
      <c r="L58" s="260"/>
      <c r="M58" s="260"/>
      <c r="N58" s="260"/>
      <c r="O58" s="260"/>
      <c r="P58" s="260"/>
      <c r="Q58" s="260"/>
    </row>
    <row r="59" spans="2:17" ht="13.15">
      <c r="B59" s="907" t="s">
        <v>298</v>
      </c>
      <c r="C59" s="908"/>
      <c r="D59" s="908"/>
      <c r="E59" s="908"/>
      <c r="F59" s="908"/>
      <c r="G59" s="908"/>
      <c r="H59" s="908"/>
      <c r="I59" s="908"/>
      <c r="J59" s="909"/>
      <c r="K59" s="521"/>
      <c r="L59" s="260"/>
      <c r="M59" s="260"/>
      <c r="N59" s="260"/>
      <c r="O59" s="260"/>
      <c r="P59" s="260"/>
      <c r="Q59" s="260"/>
    </row>
    <row r="60" spans="2:17" ht="13.15">
      <c r="B60" s="538" t="s">
        <v>41</v>
      </c>
      <c r="C60" s="538" t="s">
        <v>299</v>
      </c>
      <c r="D60" s="538" t="s">
        <v>168</v>
      </c>
      <c r="E60" s="538" t="s">
        <v>301</v>
      </c>
      <c r="F60" s="538" t="s">
        <v>169</v>
      </c>
      <c r="G60" s="538" t="s">
        <v>172</v>
      </c>
      <c r="H60" s="538" t="s">
        <v>170</v>
      </c>
      <c r="I60" s="538" t="s">
        <v>174</v>
      </c>
      <c r="J60" s="538" t="s">
        <v>179</v>
      </c>
      <c r="K60" s="488"/>
    </row>
    <row r="61" spans="2:17" ht="13.15">
      <c r="B61" s="539" t="s">
        <v>46</v>
      </c>
      <c r="C61" s="540">
        <v>20</v>
      </c>
      <c r="D61" s="540">
        <v>0</v>
      </c>
      <c r="E61" s="276">
        <f>C61+D61</f>
        <v>20</v>
      </c>
      <c r="F61" s="540"/>
      <c r="G61" s="540"/>
      <c r="H61" s="276">
        <f t="shared" ref="H61:H72" si="6">G61*D61/60</f>
        <v>0</v>
      </c>
      <c r="I61" s="541"/>
      <c r="J61" s="277" cm="1">
        <f t="array" ref="J61">_xlfn.IFS(I61=Listes!$C$2,'1. DONNEES DE BASE'!$B$2*H61,'FT_PROD (1)'!I61=Listes!$C$3,'1. DONNEES DE BASE'!$B$3*'FT_PROD (1)'!H61,TRUE,0)</f>
        <v>0</v>
      </c>
      <c r="K61" s="488"/>
    </row>
    <row r="62" spans="2:17" ht="13.15">
      <c r="B62" s="539" t="s">
        <v>45</v>
      </c>
      <c r="C62" s="540">
        <v>120</v>
      </c>
      <c r="D62" s="540">
        <v>0</v>
      </c>
      <c r="E62" s="276">
        <f t="shared" ref="E62:E72" si="7">C62+D62</f>
        <v>120</v>
      </c>
      <c r="F62" s="540"/>
      <c r="G62" s="540"/>
      <c r="H62" s="276">
        <f t="shared" si="6"/>
        <v>0</v>
      </c>
      <c r="I62" s="541"/>
      <c r="J62" s="277" cm="1">
        <f t="array" ref="J62">_xlfn.IFS(I62=Listes!$C$2,'1. DONNEES DE BASE'!$B$2*H62,'FT_PROD (1)'!I62=Listes!$C$3,'1. DONNEES DE BASE'!$B$3*'FT_PROD (1)'!H62,TRUE,0)</f>
        <v>0</v>
      </c>
      <c r="K62" s="488"/>
    </row>
    <row r="63" spans="2:17" ht="13.15">
      <c r="B63" s="539" t="s">
        <v>42</v>
      </c>
      <c r="C63" s="540">
        <v>10</v>
      </c>
      <c r="D63" s="542">
        <v>120</v>
      </c>
      <c r="E63" s="276">
        <f t="shared" si="7"/>
        <v>130</v>
      </c>
      <c r="F63" s="540" t="s">
        <v>173</v>
      </c>
      <c r="G63" s="540">
        <v>3</v>
      </c>
      <c r="H63" s="276">
        <f>G63*D63/60</f>
        <v>6</v>
      </c>
      <c r="I63" s="541" t="s">
        <v>175</v>
      </c>
      <c r="J63" s="277" cm="1">
        <f t="array" ref="J63">_xlfn.IFS(I63=Listes!$C$2,'1. DONNEES DE BASE'!$B$2*H63,'FT_PROD (1)'!I63=Listes!$C$3,'1. DONNEES DE BASE'!$B$3*'FT_PROD (1)'!H63,TRUE,0)</f>
        <v>0.48180000000000001</v>
      </c>
      <c r="K63" s="488"/>
    </row>
    <row r="64" spans="2:17" ht="13.15">
      <c r="B64" s="539" t="s">
        <v>43</v>
      </c>
      <c r="C64" s="540">
        <v>3</v>
      </c>
      <c r="D64" s="540">
        <v>0</v>
      </c>
      <c r="E64" s="276">
        <f t="shared" si="7"/>
        <v>3</v>
      </c>
      <c r="F64" s="540"/>
      <c r="G64" s="540"/>
      <c r="H64" s="276">
        <f t="shared" si="6"/>
        <v>0</v>
      </c>
      <c r="I64" s="541"/>
      <c r="J64" s="277" cm="1">
        <f t="array" ref="J64">_xlfn.IFS(I64=Listes!$C$2,'1. DONNEES DE BASE'!$B$2*H64,'FT_PROD (1)'!I64=Listes!$C$3,'1. DONNEES DE BASE'!$B$3*'FT_PROD (1)'!H64,TRUE,0)</f>
        <v>0</v>
      </c>
      <c r="K64" s="488"/>
    </row>
    <row r="65" spans="2:11" ht="13.15">
      <c r="B65" s="539" t="s">
        <v>44</v>
      </c>
      <c r="C65" s="540">
        <v>15</v>
      </c>
      <c r="D65" s="542">
        <v>120</v>
      </c>
      <c r="E65" s="276">
        <f t="shared" si="7"/>
        <v>135</v>
      </c>
      <c r="F65" s="540"/>
      <c r="G65" s="540">
        <v>2</v>
      </c>
      <c r="H65" s="276">
        <f t="shared" si="6"/>
        <v>4</v>
      </c>
      <c r="I65" s="541" t="s">
        <v>176</v>
      </c>
      <c r="J65" s="277" cm="1">
        <f t="array" ref="J65">_xlfn.IFS(I65=Listes!$C$2,'1. DONNEES DE BASE'!$B$2*H65,'FT_PROD (1)'!I65=Listes!$C$3,'1. DONNEES DE BASE'!$B$3*'FT_PROD (1)'!H65,TRUE,0)</f>
        <v>0.8</v>
      </c>
      <c r="K65" s="488"/>
    </row>
    <row r="66" spans="2:11" ht="13.15">
      <c r="B66" s="539" t="s">
        <v>27</v>
      </c>
      <c r="C66" s="540">
        <v>120</v>
      </c>
      <c r="D66" s="540">
        <v>0</v>
      </c>
      <c r="E66" s="276">
        <f t="shared" si="7"/>
        <v>120</v>
      </c>
      <c r="F66" s="540"/>
      <c r="G66" s="540"/>
      <c r="H66" s="276">
        <f t="shared" si="6"/>
        <v>0</v>
      </c>
      <c r="I66" s="541"/>
      <c r="J66" s="277" cm="1">
        <f t="array" ref="J66">_xlfn.IFS(I66=Listes!$C$2,'1. DONNEES DE BASE'!$B$2*H66,'FT_PROD (1)'!I66=Listes!$C$3,'1. DONNEES DE BASE'!$B$3*'FT_PROD (1)'!H66,TRUE,0)</f>
        <v>0</v>
      </c>
      <c r="K66" s="488"/>
    </row>
    <row r="67" spans="2:11" ht="13.15">
      <c r="B67" s="543" t="s">
        <v>167</v>
      </c>
      <c r="C67" s="540">
        <v>0</v>
      </c>
      <c r="D67" s="540">
        <v>0</v>
      </c>
      <c r="E67" s="276">
        <f t="shared" si="7"/>
        <v>0</v>
      </c>
      <c r="F67" s="540"/>
      <c r="G67" s="540"/>
      <c r="H67" s="276">
        <f t="shared" si="6"/>
        <v>0</v>
      </c>
      <c r="I67" s="541"/>
      <c r="J67" s="277" cm="1">
        <f t="array" ref="J67">_xlfn.IFS(I67=Listes!$C$2,'1. DONNEES DE BASE'!$B$2*H67,'FT_PROD (1)'!I67=Listes!$C$3,'1. DONNEES DE BASE'!$B$3*'FT_PROD (1)'!H67,TRUE,0)</f>
        <v>0</v>
      </c>
      <c r="K67" s="488"/>
    </row>
    <row r="68" spans="2:11" ht="13.15">
      <c r="B68" s="543" t="s">
        <v>48</v>
      </c>
      <c r="C68" s="540">
        <v>0</v>
      </c>
      <c r="D68" s="540">
        <v>15</v>
      </c>
      <c r="E68" s="276">
        <f t="shared" si="7"/>
        <v>15</v>
      </c>
      <c r="F68" s="540" t="s">
        <v>171</v>
      </c>
      <c r="G68" s="540">
        <v>3.55</v>
      </c>
      <c r="H68" s="276">
        <f t="shared" si="6"/>
        <v>0.88749999999999996</v>
      </c>
      <c r="I68" s="541" t="s">
        <v>176</v>
      </c>
      <c r="J68" s="277" cm="1">
        <f t="array" ref="J68">_xlfn.IFS(I68=Listes!$C$2,'1. DONNEES DE BASE'!$B$2*H68,'FT_PROD (1)'!I68=Listes!$C$3,'1. DONNEES DE BASE'!$B$3*'FT_PROD (1)'!H68,TRUE,0)</f>
        <v>0.17749999999999999</v>
      </c>
      <c r="K68" s="488"/>
    </row>
    <row r="69" spans="2:11" ht="13.15">
      <c r="B69" s="543" t="s">
        <v>302</v>
      </c>
      <c r="C69" s="540">
        <v>0</v>
      </c>
      <c r="D69" s="540">
        <v>0</v>
      </c>
      <c r="E69" s="276">
        <f t="shared" si="7"/>
        <v>0</v>
      </c>
      <c r="F69" s="540"/>
      <c r="G69" s="540"/>
      <c r="H69" s="276">
        <f t="shared" si="6"/>
        <v>0</v>
      </c>
      <c r="I69" s="541"/>
      <c r="J69" s="277" cm="1">
        <f t="array" ref="J69">_xlfn.IFS(I69=Listes!$C$2,'1. DONNEES DE BASE'!$B$2*H69,'FT_PROD (1)'!I69=Listes!$C$3,'1. DONNEES DE BASE'!$B$3*'FT_PROD (1)'!H69,TRUE,0)</f>
        <v>0</v>
      </c>
      <c r="K69" s="488"/>
    </row>
    <row r="70" spans="2:11" ht="13.15">
      <c r="B70" s="543" t="s">
        <v>303</v>
      </c>
      <c r="C70" s="540">
        <v>0</v>
      </c>
      <c r="D70" s="540">
        <v>0</v>
      </c>
      <c r="E70" s="276">
        <f t="shared" si="7"/>
        <v>0</v>
      </c>
      <c r="F70" s="540"/>
      <c r="G70" s="540"/>
      <c r="H70" s="276">
        <f t="shared" si="6"/>
        <v>0</v>
      </c>
      <c r="I70" s="541"/>
      <c r="J70" s="277" cm="1">
        <f t="array" ref="J70">_xlfn.IFS(I70=Listes!$C$2,'1. DONNEES DE BASE'!$B$2*H70,'FT_PROD (1)'!I70=Listes!$C$3,'1. DONNEES DE BASE'!$B$3*'FT_PROD (1)'!H70,TRUE,0)</f>
        <v>0</v>
      </c>
      <c r="K70" s="488"/>
    </row>
    <row r="71" spans="2:11" ht="13.15">
      <c r="B71" s="543" t="s">
        <v>304</v>
      </c>
      <c r="C71" s="540">
        <v>0</v>
      </c>
      <c r="D71" s="540">
        <v>0</v>
      </c>
      <c r="E71" s="276">
        <f t="shared" si="7"/>
        <v>0</v>
      </c>
      <c r="F71" s="540"/>
      <c r="G71" s="540"/>
      <c r="H71" s="276">
        <f t="shared" si="6"/>
        <v>0</v>
      </c>
      <c r="I71" s="541"/>
      <c r="J71" s="277" cm="1">
        <f t="array" ref="J71">_xlfn.IFS(I71=Listes!$C$2,'1. DONNEES DE BASE'!$B$2*H71,'FT_PROD (1)'!I71=Listes!$C$3,'1. DONNEES DE BASE'!$B$3*'FT_PROD (1)'!H71,TRUE,0)</f>
        <v>0</v>
      </c>
      <c r="K71" s="488"/>
    </row>
    <row r="72" spans="2:11" ht="13.15">
      <c r="B72" s="543" t="s">
        <v>305</v>
      </c>
      <c r="C72" s="540">
        <v>0</v>
      </c>
      <c r="D72" s="540">
        <v>0</v>
      </c>
      <c r="E72" s="276">
        <f t="shared" si="7"/>
        <v>0</v>
      </c>
      <c r="F72" s="540"/>
      <c r="G72" s="540"/>
      <c r="H72" s="276">
        <f t="shared" si="6"/>
        <v>0</v>
      </c>
      <c r="I72" s="541"/>
      <c r="J72" s="277" cm="1">
        <f t="array" ref="J72">_xlfn.IFS(I72=Listes!$C$2,'1. DONNEES DE BASE'!$B$2*H72,'FT_PROD (1)'!I72=Listes!$C$3,'1. DONNEES DE BASE'!$B$3*'FT_PROD (1)'!H72,TRUE,0)</f>
        <v>0</v>
      </c>
      <c r="K72" s="488"/>
    </row>
    <row r="73" spans="2:11" ht="13.8" thickBot="1">
      <c r="B73" s="278" t="s">
        <v>47</v>
      </c>
      <c r="C73" s="279">
        <f>SUM(C61:C72)</f>
        <v>288</v>
      </c>
      <c r="D73" s="279">
        <f>SUM(D61:D72)</f>
        <v>255</v>
      </c>
      <c r="E73" s="279">
        <f>SUM(E61:E72)</f>
        <v>543</v>
      </c>
      <c r="F73" s="279"/>
      <c r="G73" s="279"/>
      <c r="H73" s="279">
        <f>SUM(H61:H72)</f>
        <v>10.887499999999999</v>
      </c>
      <c r="I73" s="279"/>
      <c r="J73" s="18">
        <f>SUMIF(J61:J72,"&lt;&gt;#N/A")</f>
        <v>1.4593</v>
      </c>
      <c r="K73" s="488"/>
    </row>
    <row r="74" spans="2:11">
      <c r="B74" s="488"/>
      <c r="C74" s="488"/>
      <c r="D74" s="488"/>
      <c r="E74" s="488"/>
      <c r="F74" s="488"/>
      <c r="G74" s="488"/>
      <c r="H74" s="488"/>
      <c r="I74" s="488"/>
      <c r="J74" s="488"/>
      <c r="K74" s="488"/>
    </row>
    <row r="75" spans="2:11">
      <c r="B75" s="488"/>
      <c r="C75" s="488"/>
      <c r="D75" s="488"/>
      <c r="E75" s="488"/>
      <c r="F75" s="488"/>
      <c r="G75" s="488"/>
      <c r="H75" s="488"/>
      <c r="I75" s="488"/>
      <c r="J75" s="488"/>
      <c r="K75" s="488"/>
    </row>
    <row r="76" spans="2:11">
      <c r="B76" s="544" t="s">
        <v>531</v>
      </c>
      <c r="C76" s="544"/>
      <c r="D76" s="488"/>
      <c r="E76" s="488"/>
      <c r="F76" s="488"/>
      <c r="G76" s="488"/>
      <c r="H76" s="488"/>
      <c r="I76" s="488"/>
      <c r="J76" s="488"/>
      <c r="K76" s="488"/>
    </row>
    <row r="77" spans="2:11" ht="13.15">
      <c r="B77" s="545" t="s">
        <v>532</v>
      </c>
      <c r="C77" s="280">
        <f>SUMIFS(G17:G32,C17:C32,"Auto")</f>
        <v>175</v>
      </c>
      <c r="D77" s="488"/>
      <c r="E77" s="488"/>
      <c r="F77" s="488"/>
      <c r="G77" s="488"/>
      <c r="H77" s="488"/>
      <c r="I77" s="488"/>
      <c r="J77" s="488"/>
      <c r="K77" s="488"/>
    </row>
    <row r="78" spans="2:11" ht="13.15">
      <c r="B78" s="545" t="s">
        <v>533</v>
      </c>
      <c r="C78" s="281">
        <f>C77/D8</f>
        <v>0.77777777777777779</v>
      </c>
      <c r="D78" s="488"/>
      <c r="E78" s="488"/>
      <c r="F78" s="488"/>
      <c r="G78" s="488"/>
      <c r="H78" s="488"/>
      <c r="I78" s="488"/>
      <c r="J78" s="488"/>
      <c r="K78" s="488"/>
    </row>
  </sheetData>
  <sheetProtection algorithmName="SHA-512" hashValue="BZPeR5zVhHAgJGIgjhtRjRD6LXqozVDY4f04tQxmGvFgSIqi28OSFL4cBiQRuqj6OuTYqEGLI8I3dKfR70gZwA==" saltValue="Lr+Rd8ziTbjGySsgBo9NVg==" spinCount="100000" sheet="1" objects="1" scenarios="1" sort="0" autoFilter="0"/>
  <protectedRanges>
    <protectedRange sqref="I61:I72" name="TYpe energie"/>
    <protectedRange sqref="C2:C3 D5:D6 D8 D10:D11 G11:G12" name="Données de base"/>
    <protectedRange sqref="I17:K32 I34:K42 B34:F42 B17:F32" name="Ingred et consommables"/>
    <protectedRange sqref="B61:D72 F61:G72" name="Energie et travail"/>
  </protectedRanges>
  <mergeCells count="17">
    <mergeCell ref="B59:J59"/>
    <mergeCell ref="H10:J10"/>
    <mergeCell ref="H11:J11"/>
    <mergeCell ref="H12:J12"/>
    <mergeCell ref="H13:J13"/>
    <mergeCell ref="H4:J4"/>
    <mergeCell ref="H5:J5"/>
    <mergeCell ref="H6:J6"/>
    <mergeCell ref="H7:J7"/>
    <mergeCell ref="H8:J8"/>
    <mergeCell ref="H9:J9"/>
    <mergeCell ref="B44:F44"/>
    <mergeCell ref="I16:K16"/>
    <mergeCell ref="B48:G48"/>
    <mergeCell ref="B33:F33"/>
    <mergeCell ref="B43:F43"/>
    <mergeCell ref="I48:K48"/>
  </mergeCells>
  <dataValidations count="2">
    <dataValidation type="list" allowBlank="1" showInputMessage="1" showErrorMessage="1" errorTitle="Ingrédient invalide" error="Veuillez sélectionner un ingrédient dans la liste." sqref="B17:B32" xr:uid="{BC3B949D-3EE5-4FFF-AE2A-6D15A01C9B94}">
      <formula1>ListeIngredients</formula1>
    </dataValidation>
    <dataValidation type="list" allowBlank="1" showInputMessage="1" showErrorMessage="1" errorTitle="Consommable invalide" error="Veuillez sélectionner un consommable dans la liste." sqref="B34:B42" xr:uid="{EB05F69C-542A-4604-86D3-045C05AA138E}">
      <formula1>ListeConsommables</formula1>
    </dataValidation>
  </dataValidations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B40721F-17B7-451E-9187-F0D196FB8417}">
          <x14:formula1>
            <xm:f>Listes!$C$2:$C$5</xm:f>
          </x14:formula1>
          <xm:sqref>I61:I63 I65:I72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12063-B7CF-4E8D-9738-B987C4E3B6EE}">
  <sheetPr>
    <pageSetUpPr fitToPage="1"/>
  </sheetPr>
  <dimension ref="B1:Q78"/>
  <sheetViews>
    <sheetView showGridLines="0" topLeftCell="A82" zoomScale="85" zoomScaleNormal="85" workbookViewId="0">
      <selection activeCell="F38" sqref="F38"/>
    </sheetView>
  </sheetViews>
  <sheetFormatPr baseColWidth="10" defaultColWidth="11.44140625" defaultRowHeight="12.55"/>
  <cols>
    <col min="1" max="1" width="1.44140625" style="251" customWidth="1"/>
    <col min="2" max="2" width="23.109375" style="251" customWidth="1"/>
    <col min="3" max="3" width="20" style="251" customWidth="1"/>
    <col min="4" max="4" width="19" style="251" customWidth="1"/>
    <col min="5" max="5" width="13.6640625" style="251" bestFit="1" customWidth="1"/>
    <col min="6" max="6" width="23.21875" style="251" customWidth="1"/>
    <col min="7" max="7" width="14.5546875" style="251" customWidth="1"/>
    <col min="8" max="8" width="14.109375" style="251" customWidth="1"/>
    <col min="9" max="9" width="17.33203125" style="251" customWidth="1"/>
    <col min="10" max="10" width="16.6640625" style="251" customWidth="1"/>
    <col min="11" max="11" width="12.109375" style="251" customWidth="1"/>
    <col min="12" max="16384" width="11.44140625" style="251"/>
  </cols>
  <sheetData>
    <row r="1" spans="2:11" ht="47.3" customHeight="1">
      <c r="B1" s="485" t="s">
        <v>37</v>
      </c>
      <c r="C1" s="486"/>
      <c r="D1" s="486"/>
      <c r="E1" s="486"/>
      <c r="F1" s="486"/>
      <c r="G1" s="486"/>
      <c r="H1" s="486"/>
      <c r="I1" s="486"/>
      <c r="J1" s="487"/>
      <c r="K1" s="488"/>
    </row>
    <row r="2" spans="2:11" ht="16.3" customHeight="1">
      <c r="B2" s="489" t="s">
        <v>39</v>
      </c>
      <c r="C2" s="490" t="s">
        <v>308</v>
      </c>
      <c r="D2" s="491"/>
      <c r="E2" s="492"/>
      <c r="F2" s="486"/>
      <c r="G2" s="486"/>
      <c r="H2" s="486"/>
      <c r="I2" s="486"/>
      <c r="J2" s="488"/>
      <c r="K2" s="488"/>
    </row>
    <row r="3" spans="2:11" ht="18.8" customHeight="1">
      <c r="B3" s="489" t="s">
        <v>23</v>
      </c>
      <c r="C3" s="490" t="s">
        <v>559</v>
      </c>
      <c r="D3" s="491"/>
      <c r="E3" s="492"/>
      <c r="F3" s="486"/>
      <c r="G3" s="486"/>
      <c r="H3" s="486"/>
      <c r="I3" s="486"/>
      <c r="J3" s="488"/>
      <c r="K3" s="488"/>
    </row>
    <row r="4" spans="2:11" ht="18.8" customHeight="1">
      <c r="B4" s="493"/>
      <c r="C4" s="486"/>
      <c r="D4" s="486"/>
      <c r="E4" s="488"/>
      <c r="F4" s="486"/>
      <c r="G4" s="486"/>
      <c r="H4" s="905" t="s">
        <v>306</v>
      </c>
      <c r="I4" s="905"/>
      <c r="J4" s="905"/>
      <c r="K4" s="488"/>
    </row>
    <row r="5" spans="2:11" ht="19.899999999999999" customHeight="1">
      <c r="B5" s="489" t="s">
        <v>284</v>
      </c>
      <c r="C5" s="494"/>
      <c r="D5" s="495">
        <v>50</v>
      </c>
      <c r="E5" s="496"/>
      <c r="F5" s="497"/>
      <c r="G5" s="498"/>
      <c r="H5" s="906" t="s">
        <v>285</v>
      </c>
      <c r="I5" s="896"/>
      <c r="J5" s="896"/>
      <c r="K5" s="488"/>
    </row>
    <row r="6" spans="2:11" ht="19.899999999999999" customHeight="1">
      <c r="B6" s="489" t="s">
        <v>286</v>
      </c>
      <c r="C6" s="494"/>
      <c r="D6" s="499">
        <v>0.2</v>
      </c>
      <c r="E6" s="496"/>
      <c r="F6" s="497"/>
      <c r="G6" s="498"/>
      <c r="H6" s="896"/>
      <c r="I6" s="896"/>
      <c r="J6" s="896"/>
      <c r="K6" s="488"/>
    </row>
    <row r="7" spans="2:11" ht="19.899999999999999" customHeight="1">
      <c r="B7" s="489" t="s">
        <v>35</v>
      </c>
      <c r="C7" s="494"/>
      <c r="D7" s="252">
        <f>D5/D6</f>
        <v>250</v>
      </c>
      <c r="E7" s="496"/>
      <c r="F7" s="497"/>
      <c r="G7" s="498"/>
      <c r="H7" s="896"/>
      <c r="I7" s="896"/>
      <c r="J7" s="896"/>
      <c r="K7" s="488"/>
    </row>
    <row r="8" spans="2:11" ht="19.899999999999999" customHeight="1">
      <c r="B8" s="489" t="s">
        <v>36</v>
      </c>
      <c r="C8" s="494"/>
      <c r="D8" s="499">
        <v>225</v>
      </c>
      <c r="E8" s="496"/>
      <c r="F8" s="497"/>
      <c r="G8" s="498"/>
      <c r="H8" s="896" t="s">
        <v>287</v>
      </c>
      <c r="I8" s="896"/>
      <c r="J8" s="896"/>
      <c r="K8" s="488"/>
    </row>
    <row r="9" spans="2:11" ht="19.899999999999999" customHeight="1">
      <c r="B9" s="489" t="s">
        <v>34</v>
      </c>
      <c r="C9" s="494"/>
      <c r="D9" s="10">
        <f>1-(D8/D7)</f>
        <v>9.9999999999999978E-2</v>
      </c>
      <c r="E9" s="496"/>
      <c r="F9" s="497"/>
      <c r="G9" s="498"/>
      <c r="H9" s="896" t="s">
        <v>288</v>
      </c>
      <c r="I9" s="896"/>
      <c r="J9" s="896"/>
      <c r="K9" s="488"/>
    </row>
    <row r="10" spans="2:11" ht="19.899999999999999" customHeight="1">
      <c r="B10" s="489" t="s">
        <v>25</v>
      </c>
      <c r="C10" s="494"/>
      <c r="D10" s="500">
        <v>4.0599999999999996</v>
      </c>
      <c r="E10" s="489" t="s">
        <v>32</v>
      </c>
      <c r="F10" s="501"/>
      <c r="G10" s="253">
        <f>G12/(1+G11)</f>
        <v>4.6698113207547172</v>
      </c>
      <c r="H10" s="896"/>
      <c r="I10" s="896"/>
      <c r="J10" s="896"/>
      <c r="K10" s="488"/>
    </row>
    <row r="11" spans="2:11" ht="19.899999999999999" customHeight="1">
      <c r="B11" s="489" t="s">
        <v>3</v>
      </c>
      <c r="C11" s="494"/>
      <c r="D11" s="502">
        <v>0.06</v>
      </c>
      <c r="E11" s="489" t="s">
        <v>3</v>
      </c>
      <c r="F11" s="501"/>
      <c r="G11" s="503">
        <v>0.06</v>
      </c>
      <c r="H11" s="896"/>
      <c r="I11" s="896"/>
      <c r="J11" s="896"/>
      <c r="K11" s="488"/>
    </row>
    <row r="12" spans="2:11" ht="19.899999999999999" customHeight="1">
      <c r="B12" s="489" t="s">
        <v>33</v>
      </c>
      <c r="C12" s="494"/>
      <c r="D12" s="254">
        <f>D10*(1+D11)</f>
        <v>4.3035999999999994</v>
      </c>
      <c r="E12" s="489" t="s">
        <v>24</v>
      </c>
      <c r="F12" s="501"/>
      <c r="G12" s="504">
        <v>4.95</v>
      </c>
      <c r="H12" s="896"/>
      <c r="I12" s="896"/>
      <c r="J12" s="896"/>
      <c r="K12" s="488"/>
    </row>
    <row r="13" spans="2:11" ht="19.899999999999999" customHeight="1">
      <c r="B13" s="489" t="s">
        <v>289</v>
      </c>
      <c r="C13" s="494"/>
      <c r="D13" s="10">
        <f>G10/D10-1</f>
        <v>0.15019983269820636</v>
      </c>
      <c r="E13" s="505"/>
      <c r="F13" s="505"/>
      <c r="G13" s="505"/>
      <c r="H13" s="896" t="s">
        <v>290</v>
      </c>
      <c r="I13" s="896"/>
      <c r="J13" s="896"/>
      <c r="K13" s="488"/>
    </row>
    <row r="14" spans="2:11" ht="18.8" customHeight="1">
      <c r="B14" s="505"/>
      <c r="C14" s="505"/>
      <c r="D14" s="505"/>
      <c r="E14" s="505"/>
      <c r="F14" s="505"/>
      <c r="G14" s="505"/>
      <c r="H14" s="505"/>
      <c r="I14" s="505"/>
      <c r="J14" s="488"/>
      <c r="K14" s="488"/>
    </row>
    <row r="15" spans="2:11" ht="6.75" customHeight="1" thickBot="1">
      <c r="B15" s="488"/>
      <c r="C15" s="488"/>
      <c r="D15" s="488"/>
      <c r="E15" s="488"/>
      <c r="F15" s="488"/>
      <c r="G15" s="488"/>
      <c r="H15" s="488"/>
      <c r="I15" s="488"/>
      <c r="J15" s="488"/>
      <c r="K15" s="488"/>
    </row>
    <row r="16" spans="2:11" s="255" customFormat="1" ht="45.1" customHeight="1">
      <c r="B16" s="506" t="s">
        <v>4</v>
      </c>
      <c r="C16" s="507" t="s">
        <v>5</v>
      </c>
      <c r="D16" s="508" t="s">
        <v>6</v>
      </c>
      <c r="E16" s="508" t="s">
        <v>7</v>
      </c>
      <c r="F16" s="508" t="s">
        <v>8</v>
      </c>
      <c r="G16" s="508" t="s">
        <v>300</v>
      </c>
      <c r="H16" s="509" t="s">
        <v>30</v>
      </c>
      <c r="I16" s="899" t="s">
        <v>22</v>
      </c>
      <c r="J16" s="899"/>
      <c r="K16" s="900"/>
    </row>
    <row r="17" spans="2:11" s="260" customFormat="1" ht="17.25" customHeight="1">
      <c r="B17" s="477" t="s">
        <v>14</v>
      </c>
      <c r="C17" s="256" t="str">
        <f>IF(ISBLANK(B17),"",_xlfn.XLOOKUP(B17,tblIngredients[Article],tblIngredients[Fournisseur],""))</f>
        <v>Auto</v>
      </c>
      <c r="D17" s="257" t="str">
        <f>IF(ISBLANK(B17),"",_xlfn.XLOOKUP(B17,tblIngredients[Article],tblIngredients[Unité conditionnement],""))</f>
        <v>1 kg</v>
      </c>
      <c r="E17" s="258">
        <f>IF(ISBLANK(B17),"",_xlfn.XLOOKUP(B17,tblIngredients[Article],tblIngredients[Coût d''achat HTVA  à l''unité],""))</f>
        <v>3.5</v>
      </c>
      <c r="F17" s="510">
        <v>50</v>
      </c>
      <c r="G17" s="259">
        <f>IF(OR(F17="",ISBLANK(F17)),"",E17*F17)</f>
        <v>175</v>
      </c>
      <c r="H17" s="11">
        <f>IF(OR(G17="",ISBLANK(G17)),"",G17/G$33)</f>
        <v>0.92115565556674106</v>
      </c>
      <c r="I17" s="511" t="s">
        <v>291</v>
      </c>
      <c r="J17" s="512"/>
      <c r="K17" s="513"/>
    </row>
    <row r="18" spans="2:11" s="260" customFormat="1" ht="17.25" customHeight="1">
      <c r="B18" s="477" t="s">
        <v>15</v>
      </c>
      <c r="C18" s="256" t="str">
        <f>IF(ISBLANK(B18),"",_xlfn.XLOOKUP(B18,tblIngredients[Article],tblIngredients[Fournisseur],""))</f>
        <v>Inbterbio</v>
      </c>
      <c r="D18" s="257" t="str">
        <f>IF(ISBLANK(B18),"",_xlfn.XLOOKUP(B18,tblIngredients[Article],tblIngredients[Unité conditionnement],""))</f>
        <v>1 kg</v>
      </c>
      <c r="E18" s="258">
        <f>IF(ISBLANK(B18),"",_xlfn.XLOOKUP(B18,tblIngredients[Article],tblIngredients[Coût d''achat HTVA  à l''unité],""))</f>
        <v>6</v>
      </c>
      <c r="F18" s="510">
        <v>0.5</v>
      </c>
      <c r="G18" s="259">
        <f t="shared" ref="G18:G32" si="0">IF(OR(F18="",ISBLANK(F18)),"",E18*F18)</f>
        <v>3</v>
      </c>
      <c r="H18" s="11">
        <f t="shared" ref="H18:H32" si="1">IF(OR(G18="",ISBLANK(G18)),"",G18/G$33)</f>
        <v>1.5791239809715561E-2</v>
      </c>
      <c r="I18" s="514"/>
      <c r="J18" s="512"/>
      <c r="K18" s="513"/>
    </row>
    <row r="19" spans="2:11" s="260" customFormat="1" ht="17.25" customHeight="1">
      <c r="B19" s="477" t="s">
        <v>16</v>
      </c>
      <c r="C19" s="256" t="str">
        <f>IF(ISBLANK(B19),"",_xlfn.XLOOKUP(B19,tblIngredients[Article],tblIngredients[Fournisseur],""))</f>
        <v>Interbio</v>
      </c>
      <c r="D19" s="257" t="str">
        <f>IF(ISBLANK(B19),"",_xlfn.XLOOKUP(B19,tblIngredients[Article],tblIngredients[Unité conditionnement],""))</f>
        <v>1 Botte</v>
      </c>
      <c r="E19" s="258">
        <f>IF(ISBLANK(B19),"",_xlfn.XLOOKUP(B19,tblIngredients[Article],tblIngredients[Coût d''achat HTVA  à l''unité],""))</f>
        <v>1.89</v>
      </c>
      <c r="F19" s="510">
        <v>4</v>
      </c>
      <c r="G19" s="259">
        <f t="shared" si="0"/>
        <v>7.56</v>
      </c>
      <c r="H19" s="11">
        <f t="shared" si="1"/>
        <v>3.9793924320483211E-2</v>
      </c>
      <c r="I19" s="514"/>
      <c r="J19" s="512"/>
      <c r="K19" s="513"/>
    </row>
    <row r="20" spans="2:11" s="260" customFormat="1" ht="17.25" customHeight="1">
      <c r="B20" s="477" t="s">
        <v>17</v>
      </c>
      <c r="C20" s="256" t="str">
        <f>IF(ISBLANK(B20),"",_xlfn.XLOOKUP(B20,tblIngredients[Article],tblIngredients[Fournisseur],""))</f>
        <v>Solucious</v>
      </c>
      <c r="D20" s="257" t="str">
        <f>IF(ISBLANK(B20),"",_xlfn.XLOOKUP(B20,tblIngredients[Article],tblIngredients[Unité conditionnement],""))</f>
        <v>1 L</v>
      </c>
      <c r="E20" s="258">
        <f>IF(ISBLANK(B20),"",_xlfn.XLOOKUP(B20,tblIngredients[Article],tblIngredients[Coût d''achat HTVA  à l''unité],""))</f>
        <v>17.649999999999999</v>
      </c>
      <c r="F20" s="510">
        <v>0.25</v>
      </c>
      <c r="G20" s="259">
        <f t="shared" si="0"/>
        <v>4.4124999999999996</v>
      </c>
      <c r="H20" s="11">
        <f t="shared" si="1"/>
        <v>2.3226281886789969E-2</v>
      </c>
      <c r="I20" s="514"/>
      <c r="J20" s="512"/>
      <c r="K20" s="513"/>
    </row>
    <row r="21" spans="2:11" s="260" customFormat="1" ht="17.25" customHeight="1">
      <c r="B21" s="477" t="s">
        <v>391</v>
      </c>
      <c r="C21" s="256" t="str">
        <f>IF(ISBLANK(B21),"",_xlfn.XLOOKUP(B21,tblIngredients[Article],tblIngredients[Fournisseur],""))</f>
        <v>Solucious</v>
      </c>
      <c r="D21" s="257" t="str">
        <f>IF(ISBLANK(B21),"",_xlfn.XLOOKUP(B21,tblIngredients[Article],tblIngredients[Unité conditionnement],""))</f>
        <v>1 Kg</v>
      </c>
      <c r="E21" s="258">
        <f>IF(ISBLANK(B21),"",_xlfn.XLOOKUP(B21,tblIngredients[Article],tblIngredients[Coût d''achat HTVA  à l''unité],""))</f>
        <v>6.25</v>
      </c>
      <c r="F21" s="510">
        <v>1E-3</v>
      </c>
      <c r="G21" s="259">
        <f t="shared" si="0"/>
        <v>6.2500000000000003E-3</v>
      </c>
      <c r="H21" s="11">
        <f t="shared" si="1"/>
        <v>3.2898416270240753E-5</v>
      </c>
      <c r="I21" s="514"/>
      <c r="J21" s="512"/>
      <c r="K21" s="513"/>
    </row>
    <row r="22" spans="2:11" s="260" customFormat="1" ht="17.25" customHeight="1">
      <c r="B22" s="477"/>
      <c r="C22" s="256" t="str">
        <f>IF(ISBLANK(B22),"",_xlfn.XLOOKUP(B22,tblIngredients[Article],tblIngredients[Fournisseur],""))</f>
        <v/>
      </c>
      <c r="D22" s="257" t="str">
        <f>IF(ISBLANK(B22),"",_xlfn.XLOOKUP(B22,tblIngredients[Article],tblIngredients[Unité conditionnement],""))</f>
        <v/>
      </c>
      <c r="E22" s="258" t="str">
        <f>IF(ISBLANK(B22),"",_xlfn.XLOOKUP(B22,tblIngredients[Article],tblIngredients[Coût d''achat HTVA  à l''unité],""))</f>
        <v/>
      </c>
      <c r="F22" s="510"/>
      <c r="G22" s="259" t="str">
        <f t="shared" si="0"/>
        <v/>
      </c>
      <c r="H22" s="11" t="str">
        <f t="shared" si="1"/>
        <v/>
      </c>
      <c r="I22" s="514"/>
      <c r="J22" s="512"/>
      <c r="K22" s="513"/>
    </row>
    <row r="23" spans="2:11" s="260" customFormat="1" ht="17.25" customHeight="1">
      <c r="B23" s="477"/>
      <c r="C23" s="256" t="str">
        <f>IF(ISBLANK(B23),"",_xlfn.XLOOKUP(B23,tblIngredients[Article],tblIngredients[Fournisseur],""))</f>
        <v/>
      </c>
      <c r="D23" s="257" t="str">
        <f>IF(ISBLANK(B23),"",_xlfn.XLOOKUP(B23,tblIngredients[Article],tblIngredients[Unité conditionnement],""))</f>
        <v/>
      </c>
      <c r="E23" s="258" t="str">
        <f>IF(ISBLANK(B23),"",_xlfn.XLOOKUP(B23,tblIngredients[Article],tblIngredients[Coût d''achat HTVA  à l''unité],""))</f>
        <v/>
      </c>
      <c r="F23" s="510"/>
      <c r="G23" s="259" t="str">
        <f t="shared" si="0"/>
        <v/>
      </c>
      <c r="H23" s="11" t="str">
        <f t="shared" si="1"/>
        <v/>
      </c>
      <c r="I23" s="514"/>
      <c r="J23" s="512"/>
      <c r="K23" s="513"/>
    </row>
    <row r="24" spans="2:11" s="260" customFormat="1" ht="17.25" customHeight="1">
      <c r="B24" s="477"/>
      <c r="C24" s="256" t="str">
        <f>IF(ISBLANK(B24),"",_xlfn.XLOOKUP(B24,tblIngredients[Article],tblIngredients[Fournisseur],""))</f>
        <v/>
      </c>
      <c r="D24" s="257" t="str">
        <f>IF(ISBLANK(B24),"",_xlfn.XLOOKUP(B24,tblIngredients[Article],tblIngredients[Unité conditionnement],""))</f>
        <v/>
      </c>
      <c r="E24" s="258" t="str">
        <f>IF(ISBLANK(B24),"",_xlfn.XLOOKUP(B24,tblIngredients[Article],tblIngredients[Coût d''achat HTVA  à l''unité],""))</f>
        <v/>
      </c>
      <c r="F24" s="510"/>
      <c r="G24" s="259" t="str">
        <f t="shared" si="0"/>
        <v/>
      </c>
      <c r="H24" s="11" t="str">
        <f t="shared" si="1"/>
        <v/>
      </c>
      <c r="I24" s="514"/>
      <c r="J24" s="512"/>
      <c r="K24" s="513"/>
    </row>
    <row r="25" spans="2:11" s="260" customFormat="1" ht="17.25" customHeight="1">
      <c r="B25" s="477"/>
      <c r="C25" s="256" t="str">
        <f>IF(ISBLANK(B25),"",_xlfn.XLOOKUP(B25,tblIngredients[Article],tblIngredients[Fournisseur],""))</f>
        <v/>
      </c>
      <c r="D25" s="257" t="str">
        <f>IF(ISBLANK(B25),"",_xlfn.XLOOKUP(B25,tblIngredients[Article],tblIngredients[Unité conditionnement],""))</f>
        <v/>
      </c>
      <c r="E25" s="258" t="str">
        <f>IF(ISBLANK(B25),"",_xlfn.XLOOKUP(B25,tblIngredients[Article],tblIngredients[Coût d''achat HTVA  à l''unité],""))</f>
        <v/>
      </c>
      <c r="F25" s="510"/>
      <c r="G25" s="259" t="str">
        <f t="shared" si="0"/>
        <v/>
      </c>
      <c r="H25" s="11" t="str">
        <f t="shared" si="1"/>
        <v/>
      </c>
      <c r="I25" s="514"/>
      <c r="J25" s="512"/>
      <c r="K25" s="513"/>
    </row>
    <row r="26" spans="2:11" s="260" customFormat="1" ht="17.25" customHeight="1">
      <c r="B26" s="477"/>
      <c r="C26" s="256" t="str">
        <f>IF(ISBLANK(B26),"",_xlfn.XLOOKUP(B26,tblIngredients[Article],tblIngredients[Fournisseur],""))</f>
        <v/>
      </c>
      <c r="D26" s="257" t="str">
        <f>IF(ISBLANK(B26),"",_xlfn.XLOOKUP(B26,tblIngredients[Article],tblIngredients[Unité conditionnement],""))</f>
        <v/>
      </c>
      <c r="E26" s="258" t="str">
        <f>IF(ISBLANK(B26),"",_xlfn.XLOOKUP(B26,tblIngredients[Article],tblIngredients[Coût d''achat HTVA  à l''unité],""))</f>
        <v/>
      </c>
      <c r="F26" s="510"/>
      <c r="G26" s="259" t="str">
        <f t="shared" si="0"/>
        <v/>
      </c>
      <c r="H26" s="11" t="str">
        <f t="shared" si="1"/>
        <v/>
      </c>
      <c r="I26" s="514"/>
      <c r="J26" s="512"/>
      <c r="K26" s="513"/>
    </row>
    <row r="27" spans="2:11" s="260" customFormat="1" ht="17.25" customHeight="1">
      <c r="B27" s="477"/>
      <c r="C27" s="256" t="str">
        <f>IF(ISBLANK(B27),"",_xlfn.XLOOKUP(B27,tblIngredients[Article],tblIngredients[Fournisseur],""))</f>
        <v/>
      </c>
      <c r="D27" s="257" t="str">
        <f>IF(ISBLANK(B27),"",_xlfn.XLOOKUP(B27,tblIngredients[Article],tblIngredients[Unité conditionnement],""))</f>
        <v/>
      </c>
      <c r="E27" s="258" t="str">
        <f>IF(ISBLANK(B27),"",_xlfn.XLOOKUP(B27,tblIngredients[Article],tblIngredients[Coût d''achat HTVA  à l''unité],""))</f>
        <v/>
      </c>
      <c r="F27" s="510"/>
      <c r="G27" s="259" t="str">
        <f t="shared" si="0"/>
        <v/>
      </c>
      <c r="H27" s="11" t="str">
        <f t="shared" si="1"/>
        <v/>
      </c>
      <c r="I27" s="514"/>
      <c r="J27" s="512"/>
      <c r="K27" s="513"/>
    </row>
    <row r="28" spans="2:11" s="260" customFormat="1" ht="17.25" customHeight="1">
      <c r="B28" s="477"/>
      <c r="C28" s="256"/>
      <c r="D28" s="257"/>
      <c r="E28" s="258"/>
      <c r="F28" s="510"/>
      <c r="G28" s="259"/>
      <c r="H28" s="11"/>
      <c r="I28" s="514"/>
      <c r="J28" s="512"/>
      <c r="K28" s="513"/>
    </row>
    <row r="29" spans="2:11" s="260" customFormat="1" ht="17.25" customHeight="1">
      <c r="B29" s="477"/>
      <c r="C29" s="256" t="str">
        <f>IF(ISBLANK(B29),"",_xlfn.XLOOKUP(B29,tblIngredients[Article],tblIngredients[Fournisseur],""))</f>
        <v/>
      </c>
      <c r="D29" s="257" t="str">
        <f>IF(ISBLANK(B29),"",_xlfn.XLOOKUP(B29,tblIngredients[Article],tblIngredients[Unité conditionnement],""))</f>
        <v/>
      </c>
      <c r="E29" s="258" t="str">
        <f>IF(ISBLANK(B29),"",_xlfn.XLOOKUP(B29,tblIngredients[Article],tblIngredients[Coût d''achat HTVA  à l''unité],""))</f>
        <v/>
      </c>
      <c r="F29" s="510"/>
      <c r="G29" s="259" t="str">
        <f t="shared" si="0"/>
        <v/>
      </c>
      <c r="H29" s="11" t="str">
        <f t="shared" si="1"/>
        <v/>
      </c>
      <c r="I29" s="514"/>
      <c r="J29" s="512"/>
      <c r="K29" s="513"/>
    </row>
    <row r="30" spans="2:11" s="260" customFormat="1" ht="17.25" customHeight="1">
      <c r="B30" s="477"/>
      <c r="C30" s="256" t="str">
        <f>IF(ISBLANK(B30),"",_xlfn.XLOOKUP(B30,tblIngredients[Article],tblIngredients[Fournisseur],""))</f>
        <v/>
      </c>
      <c r="D30" s="257" t="str">
        <f>IF(ISBLANK(B30),"",_xlfn.XLOOKUP(B30,tblIngredients[Article],tblIngredients[Unité conditionnement],""))</f>
        <v/>
      </c>
      <c r="E30" s="258" t="str">
        <f>IF(ISBLANK(B30),"",_xlfn.XLOOKUP(B30,tblIngredients[Article],tblIngredients[Coût d''achat HTVA  à l''unité],""))</f>
        <v/>
      </c>
      <c r="F30" s="510"/>
      <c r="G30" s="259" t="str">
        <f t="shared" si="0"/>
        <v/>
      </c>
      <c r="H30" s="11" t="str">
        <f t="shared" si="1"/>
        <v/>
      </c>
      <c r="I30" s="514"/>
      <c r="J30" s="512"/>
      <c r="K30" s="513"/>
    </row>
    <row r="31" spans="2:11" s="260" customFormat="1" ht="17.25" customHeight="1">
      <c r="B31" s="477"/>
      <c r="C31" s="256" t="str">
        <f>IF(ISBLANK(B31),"",_xlfn.XLOOKUP(B31,tblIngredients[Article],tblIngredients[Fournisseur],""))</f>
        <v/>
      </c>
      <c r="D31" s="257" t="str">
        <f>IF(ISBLANK(B31),"",_xlfn.XLOOKUP(B31,tblIngredients[Article],tblIngredients[Unité conditionnement],""))</f>
        <v/>
      </c>
      <c r="E31" s="258" t="str">
        <f>IF(ISBLANK(B31),"",_xlfn.XLOOKUP(B31,tblIngredients[Article],tblIngredients[Coût d''achat HTVA  à l''unité],""))</f>
        <v/>
      </c>
      <c r="F31" s="510"/>
      <c r="G31" s="259" t="str">
        <f t="shared" si="0"/>
        <v/>
      </c>
      <c r="H31" s="11" t="str">
        <f t="shared" si="1"/>
        <v/>
      </c>
      <c r="I31" s="514"/>
      <c r="J31" s="512"/>
      <c r="K31" s="513"/>
    </row>
    <row r="32" spans="2:11" s="260" customFormat="1" ht="17.25" customHeight="1">
      <c r="B32" s="477"/>
      <c r="C32" s="256" t="str">
        <f>IF(ISBLANK(B32),"",_xlfn.XLOOKUP(B32,tblIngredients[Article],tblIngredients[Fournisseur],""))</f>
        <v/>
      </c>
      <c r="D32" s="257" t="str">
        <f>IF(ISBLANK(B32),"",_xlfn.XLOOKUP(B32,tblIngredients[Article],tblIngredients[Unité conditionnement],""))</f>
        <v/>
      </c>
      <c r="E32" s="258" t="str">
        <f>IF(ISBLANK(B32),"",_xlfn.XLOOKUP(B32,tblIngredients[Article],tblIngredients[Coût d''achat HTVA  à l''unité],""))</f>
        <v/>
      </c>
      <c r="F32" s="510"/>
      <c r="G32" s="259" t="str">
        <f t="shared" si="0"/>
        <v/>
      </c>
      <c r="H32" s="11" t="str">
        <f t="shared" si="1"/>
        <v/>
      </c>
      <c r="I32" s="514"/>
      <c r="J32" s="512"/>
      <c r="K32" s="513"/>
    </row>
    <row r="33" spans="2:11" s="260" customFormat="1" ht="17.25" customHeight="1">
      <c r="B33" s="904" t="s">
        <v>29</v>
      </c>
      <c r="C33" s="904"/>
      <c r="D33" s="904"/>
      <c r="E33" s="904"/>
      <c r="F33" s="904"/>
      <c r="G33" s="261">
        <f>SUM(G17:G32)</f>
        <v>189.97874999999999</v>
      </c>
      <c r="H33" s="12">
        <f>IF(G33="","",G33/G$45)</f>
        <v>0.72032302138783477</v>
      </c>
      <c r="I33" s="262"/>
      <c r="J33" s="263"/>
      <c r="K33" s="264"/>
    </row>
    <row r="34" spans="2:11" s="260" customFormat="1" ht="17.25" customHeight="1">
      <c r="B34" s="477" t="s">
        <v>19</v>
      </c>
      <c r="C34" s="256" t="str">
        <f>IF(ISBLANK(B34),"",_xlfn.XLOOKUP(B34,tblConsommables[Article],tblConsommables[Fournisseur],""))</f>
        <v>Grossiste</v>
      </c>
      <c r="D34" s="257" t="str">
        <f>IF(ISBLANK(B34),"",_xlfn.XLOOKUP(B34,tblConsommables[Article],tblConsommables[Unité conditionnement],""))</f>
        <v>Unité</v>
      </c>
      <c r="E34" s="258">
        <f>IF(ISBLANK(B34),"",_xlfn.XLOOKUP(B34,tblConsommables[Article],tblConsommables[Coût d''achat HTVA  à l''unité],""))</f>
        <v>0.154</v>
      </c>
      <c r="F34" s="515">
        <v>230</v>
      </c>
      <c r="G34" s="265">
        <f>IF(OR(F34="",ISBLANK(F34)),"",E34*F34)</f>
        <v>35.42</v>
      </c>
      <c r="H34" s="13">
        <f>IF(OR(G34="",ISBLANK(G34)),"",G34/G$43)</f>
        <v>0.48988285410010646</v>
      </c>
      <c r="I34" s="514"/>
      <c r="J34" s="512"/>
      <c r="K34" s="516"/>
    </row>
    <row r="35" spans="2:11" s="260" customFormat="1" ht="17.25" customHeight="1">
      <c r="B35" s="477" t="s">
        <v>38</v>
      </c>
      <c r="C35" s="256" t="str">
        <f>IF(ISBLANK(B35),"",_xlfn.XLOOKUP(B35,tblConsommables[Article],tblConsommables[Fournisseur],""))</f>
        <v>Grossiste</v>
      </c>
      <c r="D35" s="257" t="str">
        <f>IF(ISBLANK(B35),"",_xlfn.XLOOKUP(B35,tblConsommables[Article],tblConsommables[Unité conditionnement],""))</f>
        <v>Unité</v>
      </c>
      <c r="E35" s="258">
        <f>IF(ISBLANK(B35),"",_xlfn.XLOOKUP(B35,tblConsommables[Article],tblConsommables[Coût d''achat HTVA  à l''unité],""))</f>
        <v>0.12</v>
      </c>
      <c r="F35" s="515">
        <v>250</v>
      </c>
      <c r="G35" s="265">
        <f t="shared" ref="G35:G42" si="2">IF(OR(F35="",ISBLANK(F35)),"",E35*F35)</f>
        <v>30</v>
      </c>
      <c r="H35" s="13">
        <f t="shared" ref="H35:H42" si="3">IF(OR(G35="",ISBLANK(G35)),"",G35/G$43)</f>
        <v>0.41492054271606982</v>
      </c>
      <c r="I35" s="514"/>
      <c r="J35" s="512"/>
      <c r="K35" s="516"/>
    </row>
    <row r="36" spans="2:11" s="260" customFormat="1" ht="17.25" customHeight="1">
      <c r="B36" s="477" t="s">
        <v>27</v>
      </c>
      <c r="C36" s="256" t="str">
        <f>IF(ISBLANK(B36),"",_xlfn.XLOOKUP(B36,tblConsommables[Article],tblConsommables[Fournisseur],""))</f>
        <v>Grossiste</v>
      </c>
      <c r="D36" s="257" t="str">
        <f>IF(ISBLANK(B36),"",_xlfn.XLOOKUP(B36,tblConsommables[Article],tblConsommables[Unité conditionnement],""))</f>
        <v>Rack de 1000</v>
      </c>
      <c r="E36" s="258">
        <f>IF(ISBLANK(B36),"",_xlfn.XLOOKUP(B36,tblConsommables[Article],tblConsommables[Coût d''achat HTVA  à l''unité],""))</f>
        <v>27.3</v>
      </c>
      <c r="F36" s="515">
        <v>0.25</v>
      </c>
      <c r="G36" s="265">
        <f t="shared" si="2"/>
        <v>6.8250000000000002</v>
      </c>
      <c r="H36" s="13">
        <f t="shared" si="3"/>
        <v>9.4394423467905886E-2</v>
      </c>
      <c r="I36" s="514"/>
      <c r="J36" s="512"/>
      <c r="K36" s="516"/>
    </row>
    <row r="37" spans="2:11" s="260" customFormat="1" ht="17.25" customHeight="1">
      <c r="B37" s="477" t="s">
        <v>402</v>
      </c>
      <c r="C37" s="256" t="str">
        <f>IF(ISBLANK(B37),"",_xlfn.XLOOKUP(B37,tblConsommables[Article],tblConsommables[Fournisseur],""))</f>
        <v>Grossiste</v>
      </c>
      <c r="D37" s="257" t="str">
        <f>IF(ISBLANK(B37),"",_xlfn.XLOOKUP(B37,tblConsommables[Article],tblConsommables[Unité conditionnement],""))</f>
        <v>Rack de 1000</v>
      </c>
      <c r="E37" s="258">
        <f>IF(ISBLANK(B37),"",_xlfn.XLOOKUP(B37,tblConsommables[Article],tblConsommables[Coût d''achat HTVA  à l''unité],""))</f>
        <v>58</v>
      </c>
      <c r="F37" s="515">
        <v>1E-3</v>
      </c>
      <c r="G37" s="265">
        <f t="shared" si="2"/>
        <v>5.8000000000000003E-2</v>
      </c>
      <c r="H37" s="13">
        <f t="shared" si="3"/>
        <v>8.0217971591773501E-4</v>
      </c>
      <c r="I37" s="514"/>
      <c r="J37" s="512"/>
      <c r="K37" s="516"/>
    </row>
    <row r="38" spans="2:11" s="260" customFormat="1" ht="17.25" customHeight="1">
      <c r="B38" s="477"/>
      <c r="C38" s="256" t="str">
        <f>IF(ISBLANK(B38),"",_xlfn.XLOOKUP(B38,tblConsommables[Article],tblConsommables[Fournisseur],""))</f>
        <v/>
      </c>
      <c r="D38" s="257" t="str">
        <f>IF(ISBLANK(B38),"",_xlfn.XLOOKUP(B38,tblConsommables[Article],tblConsommables[Unité conditionnement],""))</f>
        <v/>
      </c>
      <c r="E38" s="258" t="str">
        <f>IF(ISBLANK(B38),"",_xlfn.XLOOKUP(B38,tblConsommables[Article],tblConsommables[Coût d''achat HTVA  à l''unité],""))</f>
        <v/>
      </c>
      <c r="F38" s="515"/>
      <c r="G38" s="265" t="str">
        <f t="shared" si="2"/>
        <v/>
      </c>
      <c r="H38" s="13" t="str">
        <f t="shared" si="3"/>
        <v/>
      </c>
      <c r="I38" s="514"/>
      <c r="J38" s="512"/>
      <c r="K38" s="516"/>
    </row>
    <row r="39" spans="2:11" s="260" customFormat="1" ht="17.25" customHeight="1">
      <c r="B39" s="477"/>
      <c r="C39" s="256" t="str">
        <f>IF(ISBLANK(B39),"",_xlfn.XLOOKUP(B39,tblConsommables[Article],tblConsommables[Fournisseur],""))</f>
        <v/>
      </c>
      <c r="D39" s="257" t="str">
        <f>IF(ISBLANK(B39),"",_xlfn.XLOOKUP(B39,tblConsommables[Article],tblConsommables[Unité conditionnement],""))</f>
        <v/>
      </c>
      <c r="E39" s="258" t="str">
        <f>IF(ISBLANK(B39),"",_xlfn.XLOOKUP(B39,tblConsommables[Article],tblConsommables[Coût d''achat HTVA  à l''unité],""))</f>
        <v/>
      </c>
      <c r="F39" s="515"/>
      <c r="G39" s="265" t="str">
        <f t="shared" si="2"/>
        <v/>
      </c>
      <c r="H39" s="13" t="str">
        <f t="shared" si="3"/>
        <v/>
      </c>
      <c r="I39" s="514"/>
      <c r="J39" s="512"/>
      <c r="K39" s="516"/>
    </row>
    <row r="40" spans="2:11" s="260" customFormat="1" ht="17.25" customHeight="1">
      <c r="B40" s="477"/>
      <c r="C40" s="256" t="str">
        <f>IF(ISBLANK(B40),"",_xlfn.XLOOKUP(B40,tblConsommables[Article],tblConsommables[Fournisseur],""))</f>
        <v/>
      </c>
      <c r="D40" s="257" t="str">
        <f>IF(ISBLANK(B40),"",_xlfn.XLOOKUP(B40,tblConsommables[Article],tblConsommables[Unité conditionnement],""))</f>
        <v/>
      </c>
      <c r="E40" s="258" t="str">
        <f>IF(ISBLANK(B40),"",_xlfn.XLOOKUP(B40,tblConsommables[Article],tblConsommables[Coût d''achat HTVA  à l''unité],""))</f>
        <v/>
      </c>
      <c r="F40" s="515"/>
      <c r="G40" s="265" t="str">
        <f t="shared" si="2"/>
        <v/>
      </c>
      <c r="H40" s="13" t="str">
        <f t="shared" si="3"/>
        <v/>
      </c>
      <c r="I40" s="514"/>
      <c r="J40" s="512"/>
      <c r="K40" s="516"/>
    </row>
    <row r="41" spans="2:11" s="260" customFormat="1" ht="17.25" customHeight="1">
      <c r="B41" s="477"/>
      <c r="C41" s="256" t="str">
        <f>IF(ISBLANK(B41),"",_xlfn.XLOOKUP(B41,tblConsommables[Article],tblConsommables[Fournisseur],""))</f>
        <v/>
      </c>
      <c r="D41" s="257" t="str">
        <f>IF(ISBLANK(B41),"",_xlfn.XLOOKUP(B41,tblConsommables[Article],tblConsommables[Unité conditionnement],""))</f>
        <v/>
      </c>
      <c r="E41" s="258" t="str">
        <f>IF(ISBLANK(B41),"",_xlfn.XLOOKUP(B41,tblConsommables[Article],tblConsommables[Coût d''achat HTVA  à l''unité],""))</f>
        <v/>
      </c>
      <c r="F41" s="515"/>
      <c r="G41" s="265" t="str">
        <f t="shared" si="2"/>
        <v/>
      </c>
      <c r="H41" s="13" t="str">
        <f t="shared" si="3"/>
        <v/>
      </c>
      <c r="I41" s="514"/>
      <c r="J41" s="512"/>
      <c r="K41" s="516"/>
    </row>
    <row r="42" spans="2:11" s="260" customFormat="1" ht="17.25" customHeight="1" thickBot="1">
      <c r="B42" s="477"/>
      <c r="C42" s="256" t="str">
        <f>IF(ISBLANK(B42),"",_xlfn.XLOOKUP(B42,tblConsommables[Article],tblConsommables[Fournisseur],""))</f>
        <v/>
      </c>
      <c r="D42" s="257" t="str">
        <f>IF(ISBLANK(B42),"",_xlfn.XLOOKUP(B42,tblConsommables[Article],tblConsommables[Unité conditionnement],""))</f>
        <v/>
      </c>
      <c r="E42" s="258" t="str">
        <f>IF(ISBLANK(B42),"",_xlfn.XLOOKUP(B42,tblConsommables[Article],tblConsommables[Coût d''achat HTVA  à l''unité],""))</f>
        <v/>
      </c>
      <c r="F42" s="517"/>
      <c r="G42" s="265" t="str">
        <f t="shared" si="2"/>
        <v/>
      </c>
      <c r="H42" s="13" t="str">
        <f t="shared" si="3"/>
        <v/>
      </c>
      <c r="I42" s="514"/>
      <c r="J42" s="512"/>
      <c r="K42" s="516"/>
    </row>
    <row r="43" spans="2:11" s="260" customFormat="1" ht="17.25" customHeight="1" thickBot="1">
      <c r="B43" s="897" t="s">
        <v>31</v>
      </c>
      <c r="C43" s="898"/>
      <c r="D43" s="898"/>
      <c r="E43" s="898"/>
      <c r="F43" s="898"/>
      <c r="G43" s="266">
        <f>SUM(G34:G42)</f>
        <v>72.303000000000011</v>
      </c>
      <c r="H43" s="14">
        <f>IF(G43="","",G43/G$45)</f>
        <v>0.27414389985935073</v>
      </c>
      <c r="I43" s="267"/>
      <c r="J43" s="267"/>
      <c r="K43" s="267"/>
    </row>
    <row r="44" spans="2:11" s="260" customFormat="1" ht="17.25" customHeight="1">
      <c r="B44" s="897" t="s">
        <v>180</v>
      </c>
      <c r="C44" s="898"/>
      <c r="D44" s="898"/>
      <c r="E44" s="898"/>
      <c r="F44" s="898"/>
      <c r="G44" s="268">
        <f>J73</f>
        <v>1.4593</v>
      </c>
      <c r="H44" s="14">
        <f>IF(G44="","",G44/G$45)</f>
        <v>5.5330787528145515E-3</v>
      </c>
      <c r="I44" s="269"/>
      <c r="J44" s="267"/>
      <c r="K44" s="267"/>
    </row>
    <row r="45" spans="2:11" s="260" customFormat="1" ht="17.25" customHeight="1">
      <c r="B45" s="518" t="s">
        <v>292</v>
      </c>
      <c r="C45" s="519"/>
      <c r="D45" s="519"/>
      <c r="E45" s="519"/>
      <c r="F45" s="520"/>
      <c r="G45" s="270">
        <f>SUM(G33,G43,G44)</f>
        <v>263.74104999999997</v>
      </c>
      <c r="H45" s="15">
        <f>IF(G45="","",G45/G$45)</f>
        <v>1</v>
      </c>
      <c r="I45" s="521"/>
      <c r="J45" s="521"/>
      <c r="K45" s="521"/>
    </row>
    <row r="46" spans="2:11" s="260" customFormat="1" ht="17.25" customHeight="1">
      <c r="B46" s="489" t="s">
        <v>293</v>
      </c>
      <c r="C46" s="522"/>
      <c r="D46" s="522"/>
      <c r="E46" s="522"/>
      <c r="F46" s="523"/>
      <c r="G46" s="270">
        <f>G45/D8</f>
        <v>1.1721824444444444</v>
      </c>
      <c r="H46" s="524"/>
      <c r="I46" s="521"/>
      <c r="J46" s="521"/>
      <c r="K46" s="521"/>
    </row>
    <row r="47" spans="2:11" s="260" customFormat="1" ht="17.25" customHeight="1">
      <c r="B47" s="521"/>
      <c r="C47" s="521"/>
      <c r="D47" s="521"/>
      <c r="E47" s="521"/>
      <c r="F47" s="521"/>
      <c r="G47" s="521"/>
      <c r="H47" s="525"/>
      <c r="I47" s="521"/>
      <c r="J47" s="521"/>
      <c r="K47" s="521"/>
    </row>
    <row r="48" spans="2:11" s="260" customFormat="1" ht="17.25" customHeight="1">
      <c r="B48" s="901" t="s">
        <v>294</v>
      </c>
      <c r="C48" s="902"/>
      <c r="D48" s="902"/>
      <c r="E48" s="902"/>
      <c r="F48" s="902"/>
      <c r="G48" s="903"/>
      <c r="H48" s="526"/>
      <c r="I48" s="901" t="s">
        <v>26</v>
      </c>
      <c r="J48" s="902"/>
      <c r="K48" s="903"/>
    </row>
    <row r="49" spans="2:17" s="260" customFormat="1" ht="17.25" customHeight="1">
      <c r="B49" s="489" t="s">
        <v>295</v>
      </c>
      <c r="C49" s="527"/>
      <c r="D49" s="527"/>
      <c r="E49" s="528"/>
      <c r="F49" s="529"/>
      <c r="G49" s="271">
        <f>D10</f>
        <v>4.0599999999999996</v>
      </c>
      <c r="H49" s="530"/>
      <c r="I49" s="489" t="s">
        <v>9</v>
      </c>
      <c r="J49" s="523"/>
      <c r="K49" s="271">
        <f>G10</f>
        <v>4.6698113207547172</v>
      </c>
    </row>
    <row r="50" spans="2:17" s="260" customFormat="1" ht="17.25" customHeight="1">
      <c r="B50" s="489" t="s">
        <v>296</v>
      </c>
      <c r="C50" s="527"/>
      <c r="D50" s="527"/>
      <c r="E50" s="522"/>
      <c r="F50" s="531"/>
      <c r="G50" s="272">
        <f>G49-G46</f>
        <v>2.8878175555555554</v>
      </c>
      <c r="H50" s="532"/>
      <c r="I50" s="489" t="s">
        <v>10</v>
      </c>
      <c r="J50" s="523"/>
      <c r="K50" s="272">
        <f>K49-G46</f>
        <v>3.497628876310273</v>
      </c>
    </row>
    <row r="51" spans="2:17" s="260" customFormat="1" ht="17.25" customHeight="1">
      <c r="B51" s="489" t="s">
        <v>410</v>
      </c>
      <c r="C51" s="527"/>
      <c r="D51" s="527"/>
      <c r="E51" s="522"/>
      <c r="F51" s="529"/>
      <c r="G51" s="272">
        <f>G50*$D8</f>
        <v>649.75894999999991</v>
      </c>
      <c r="H51" s="532"/>
      <c r="I51" s="489" t="s">
        <v>410</v>
      </c>
      <c r="J51" s="523"/>
      <c r="K51" s="272">
        <f>K50*$D8</f>
        <v>786.96649716981142</v>
      </c>
    </row>
    <row r="52" spans="2:17" s="260" customFormat="1" ht="17.25" customHeight="1">
      <c r="B52" s="489" t="s">
        <v>411</v>
      </c>
      <c r="C52" s="527"/>
      <c r="D52" s="527"/>
      <c r="E52" s="522"/>
      <c r="F52" s="529"/>
      <c r="G52" s="272">
        <f>G51/($C73*(1/60))</f>
        <v>135.36644791666666</v>
      </c>
      <c r="H52" s="532"/>
      <c r="I52" s="489" t="s">
        <v>411</v>
      </c>
      <c r="J52" s="523"/>
      <c r="K52" s="272">
        <f>K51/($C73*(1/60))</f>
        <v>163.95135357704405</v>
      </c>
    </row>
    <row r="53" spans="2:17" s="260" customFormat="1" ht="17.25" customHeight="1">
      <c r="B53" s="489" t="s">
        <v>297</v>
      </c>
      <c r="C53" s="527"/>
      <c r="D53" s="527"/>
      <c r="E53" s="522"/>
      <c r="F53" s="529"/>
      <c r="G53" s="16">
        <f>G50/$G$46</f>
        <v>2.4636246424286243</v>
      </c>
      <c r="H53" s="533"/>
      <c r="I53" s="489" t="s">
        <v>11</v>
      </c>
      <c r="J53" s="523"/>
      <c r="K53" s="16">
        <f>K50/$G$46</f>
        <v>2.9838604842507888</v>
      </c>
    </row>
    <row r="54" spans="2:17" s="260" customFormat="1" ht="17.25" customHeight="1" thickBot="1">
      <c r="B54" s="489" t="s">
        <v>12</v>
      </c>
      <c r="C54" s="527"/>
      <c r="D54" s="527"/>
      <c r="E54" s="522"/>
      <c r="F54" s="529"/>
      <c r="G54" s="273">
        <f>G49/$G$46</f>
        <v>3.4636246424286243</v>
      </c>
      <c r="H54" s="530"/>
      <c r="I54" s="489" t="s">
        <v>12</v>
      </c>
      <c r="J54" s="523"/>
      <c r="K54" s="273">
        <f>K49/$G$46</f>
        <v>3.9838604842507883</v>
      </c>
    </row>
    <row r="55" spans="2:17" ht="14.4">
      <c r="B55" s="489" t="s">
        <v>13</v>
      </c>
      <c r="C55" s="527"/>
      <c r="D55" s="527"/>
      <c r="E55" s="534"/>
      <c r="F55" s="535"/>
      <c r="G55" s="17">
        <f>G46/G49</f>
        <v>0.28871488779419818</v>
      </c>
      <c r="H55" s="488"/>
      <c r="I55" s="489" t="s">
        <v>13</v>
      </c>
      <c r="J55" s="523"/>
      <c r="K55" s="17">
        <f>G46/K49</f>
        <v>0.25101280628507294</v>
      </c>
      <c r="L55" s="260"/>
      <c r="M55" s="260"/>
      <c r="N55" s="260"/>
      <c r="O55" s="260"/>
      <c r="P55" s="260"/>
      <c r="Q55" s="260"/>
    </row>
    <row r="56" spans="2:17" ht="15.05" thickBot="1">
      <c r="B56" s="489" t="s">
        <v>403</v>
      </c>
      <c r="C56" s="488"/>
      <c r="D56" s="488"/>
      <c r="E56" s="488"/>
      <c r="F56" s="536"/>
      <c r="G56" s="274">
        <f ca="1">'4. CHARGES FIXES'!J18/(1-G55)</f>
        <v>73050.390517344262</v>
      </c>
      <c r="H56" s="488"/>
      <c r="I56" s="489" t="s">
        <v>405</v>
      </c>
      <c r="J56" s="488"/>
      <c r="K56" s="274">
        <f ca="1">'4. CHARGES FIXES'!J18/(1-K55)</f>
        <v>69373.222468718581</v>
      </c>
      <c r="L56" s="260"/>
      <c r="M56" s="260"/>
      <c r="N56" s="260"/>
      <c r="O56" s="260"/>
      <c r="P56" s="260"/>
      <c r="Q56" s="260"/>
    </row>
    <row r="57" spans="2:17" ht="15.05" thickBot="1">
      <c r="B57" s="537" t="s">
        <v>404</v>
      </c>
      <c r="C57" s="488"/>
      <c r="D57" s="488"/>
      <c r="E57" s="488"/>
      <c r="F57" s="536"/>
      <c r="G57" s="275">
        <f ca="1">G56/G49</f>
        <v>17992.707023976422</v>
      </c>
      <c r="H57" s="488"/>
      <c r="I57" s="489" t="s">
        <v>406</v>
      </c>
      <c r="J57" s="488"/>
      <c r="K57" s="275">
        <f ca="1">K56/K49</f>
        <v>14855.679962998322</v>
      </c>
      <c r="L57" s="260"/>
      <c r="M57" s="260"/>
      <c r="N57" s="260"/>
      <c r="O57" s="260"/>
      <c r="P57" s="260"/>
      <c r="Q57" s="260"/>
    </row>
    <row r="58" spans="2:17" ht="15.05" thickBot="1">
      <c r="B58" s="488"/>
      <c r="C58" s="488"/>
      <c r="D58" s="488"/>
      <c r="E58" s="488"/>
      <c r="F58" s="536"/>
      <c r="G58" s="488"/>
      <c r="H58" s="488"/>
      <c r="I58" s="488"/>
      <c r="J58" s="488"/>
      <c r="K58" s="521"/>
      <c r="L58" s="260"/>
      <c r="M58" s="260"/>
      <c r="N58" s="260"/>
      <c r="O58" s="260"/>
      <c r="P58" s="260"/>
      <c r="Q58" s="260"/>
    </row>
    <row r="59" spans="2:17" ht="13.15">
      <c r="B59" s="907" t="s">
        <v>298</v>
      </c>
      <c r="C59" s="908"/>
      <c r="D59" s="908"/>
      <c r="E59" s="908"/>
      <c r="F59" s="908"/>
      <c r="G59" s="908"/>
      <c r="H59" s="908"/>
      <c r="I59" s="908"/>
      <c r="J59" s="909"/>
      <c r="K59" s="521"/>
      <c r="L59" s="260"/>
      <c r="M59" s="260"/>
      <c r="N59" s="260"/>
      <c r="O59" s="260"/>
      <c r="P59" s="260"/>
      <c r="Q59" s="260"/>
    </row>
    <row r="60" spans="2:17" ht="13.15">
      <c r="B60" s="538" t="s">
        <v>41</v>
      </c>
      <c r="C60" s="538" t="s">
        <v>299</v>
      </c>
      <c r="D60" s="538" t="s">
        <v>168</v>
      </c>
      <c r="E60" s="538" t="s">
        <v>301</v>
      </c>
      <c r="F60" s="538" t="s">
        <v>169</v>
      </c>
      <c r="G60" s="538" t="s">
        <v>172</v>
      </c>
      <c r="H60" s="538" t="s">
        <v>170</v>
      </c>
      <c r="I60" s="538" t="s">
        <v>174</v>
      </c>
      <c r="J60" s="538" t="s">
        <v>179</v>
      </c>
      <c r="K60" s="488"/>
    </row>
    <row r="61" spans="2:17" ht="13.15">
      <c r="B61" s="539" t="s">
        <v>46</v>
      </c>
      <c r="C61" s="540">
        <v>20</v>
      </c>
      <c r="D61" s="540">
        <v>0</v>
      </c>
      <c r="E61" s="276">
        <f>C61+D61</f>
        <v>20</v>
      </c>
      <c r="F61" s="540"/>
      <c r="G61" s="540"/>
      <c r="H61" s="276">
        <f t="shared" ref="H61:H62" si="4">G61*D61/60</f>
        <v>0</v>
      </c>
      <c r="I61" s="541"/>
      <c r="J61" s="277" cm="1">
        <f t="array" ref="J61">_xlfn.IFS(I61=Listes!$C$2,'1. DONNEES DE BASE'!$B$2*H61,'FT_PROD (2)'!I61=Listes!$C$3,'1. DONNEES DE BASE'!$B$3*'FT_PROD (2)'!H61,TRUE,0)</f>
        <v>0</v>
      </c>
      <c r="K61" s="488"/>
    </row>
    <row r="62" spans="2:17" ht="13.15">
      <c r="B62" s="539" t="s">
        <v>45</v>
      </c>
      <c r="C62" s="540">
        <v>120</v>
      </c>
      <c r="D62" s="540">
        <v>0</v>
      </c>
      <c r="E62" s="276">
        <f t="shared" ref="E62:E72" si="5">C62+D62</f>
        <v>120</v>
      </c>
      <c r="F62" s="540"/>
      <c r="G62" s="540"/>
      <c r="H62" s="276">
        <f t="shared" si="4"/>
        <v>0</v>
      </c>
      <c r="I62" s="541"/>
      <c r="J62" s="277" cm="1">
        <f t="array" ref="J62">_xlfn.IFS(I62=Listes!$C$2,'1. DONNEES DE BASE'!$B$2*H62,'FT_PROD (2)'!I62=Listes!$C$3,'1. DONNEES DE BASE'!$B$3*'FT_PROD (2)'!H62,TRUE,0)</f>
        <v>0</v>
      </c>
      <c r="K62" s="488"/>
    </row>
    <row r="63" spans="2:17" ht="13.15">
      <c r="B63" s="539" t="s">
        <v>42</v>
      </c>
      <c r="C63" s="540">
        <v>10</v>
      </c>
      <c r="D63" s="542">
        <v>120</v>
      </c>
      <c r="E63" s="276">
        <f t="shared" si="5"/>
        <v>130</v>
      </c>
      <c r="F63" s="540" t="s">
        <v>173</v>
      </c>
      <c r="G63" s="540">
        <v>3</v>
      </c>
      <c r="H63" s="276">
        <f>G63*D63/60</f>
        <v>6</v>
      </c>
      <c r="I63" s="541" t="s">
        <v>175</v>
      </c>
      <c r="J63" s="277" cm="1">
        <f t="array" ref="J63">_xlfn.IFS(I63=Listes!$C$2,'1. DONNEES DE BASE'!$B$2*H63,'FT_PROD (2)'!I63=Listes!$C$3,'1. DONNEES DE BASE'!$B$3*'FT_PROD (2)'!H63,TRUE,0)</f>
        <v>0.48180000000000001</v>
      </c>
      <c r="K63" s="488"/>
    </row>
    <row r="64" spans="2:17" ht="13.15">
      <c r="B64" s="539" t="s">
        <v>43</v>
      </c>
      <c r="C64" s="540">
        <v>3</v>
      </c>
      <c r="D64" s="540">
        <v>0</v>
      </c>
      <c r="E64" s="276">
        <f t="shared" si="5"/>
        <v>3</v>
      </c>
      <c r="F64" s="540"/>
      <c r="G64" s="540"/>
      <c r="H64" s="276">
        <f t="shared" ref="H64:H72" si="6">G64*D64/60</f>
        <v>0</v>
      </c>
      <c r="I64" s="541"/>
      <c r="J64" s="277" cm="1">
        <f t="array" ref="J64">_xlfn.IFS(I64=Listes!$C$2,'1. DONNEES DE BASE'!$B$2*H64,'FT_PROD (2)'!I64=Listes!$C$3,'1. DONNEES DE BASE'!$B$3*'FT_PROD (2)'!H64,TRUE,0)</f>
        <v>0</v>
      </c>
      <c r="K64" s="488"/>
    </row>
    <row r="65" spans="2:11" ht="13.15">
      <c r="B65" s="539" t="s">
        <v>44</v>
      </c>
      <c r="C65" s="540">
        <v>15</v>
      </c>
      <c r="D65" s="542">
        <v>120</v>
      </c>
      <c r="E65" s="276">
        <f t="shared" si="5"/>
        <v>135</v>
      </c>
      <c r="F65" s="540"/>
      <c r="G65" s="540">
        <v>2</v>
      </c>
      <c r="H65" s="276">
        <f t="shared" si="6"/>
        <v>4</v>
      </c>
      <c r="I65" s="541" t="s">
        <v>176</v>
      </c>
      <c r="J65" s="277" cm="1">
        <f t="array" ref="J65">_xlfn.IFS(I65=Listes!$C$2,'1. DONNEES DE BASE'!$B$2*H65,'FT_PROD (2)'!I65=Listes!$C$3,'1. DONNEES DE BASE'!$B$3*'FT_PROD (2)'!H65,TRUE,0)</f>
        <v>0.8</v>
      </c>
      <c r="K65" s="488"/>
    </row>
    <row r="66" spans="2:11" ht="13.15">
      <c r="B66" s="539" t="s">
        <v>27</v>
      </c>
      <c r="C66" s="540">
        <v>120</v>
      </c>
      <c r="D66" s="540">
        <v>0</v>
      </c>
      <c r="E66" s="276">
        <f t="shared" si="5"/>
        <v>120</v>
      </c>
      <c r="F66" s="540"/>
      <c r="G66" s="540"/>
      <c r="H66" s="276">
        <f t="shared" si="6"/>
        <v>0</v>
      </c>
      <c r="I66" s="541"/>
      <c r="J66" s="277" cm="1">
        <f t="array" ref="J66">_xlfn.IFS(I66=Listes!$C$2,'1. DONNEES DE BASE'!$B$2*H66,'FT_PROD (2)'!I66=Listes!$C$3,'1. DONNEES DE BASE'!$B$3*'FT_PROD (2)'!H66,TRUE,0)</f>
        <v>0</v>
      </c>
      <c r="K66" s="488"/>
    </row>
    <row r="67" spans="2:11" ht="13.15">
      <c r="B67" s="543" t="s">
        <v>167</v>
      </c>
      <c r="C67" s="540">
        <v>0</v>
      </c>
      <c r="D67" s="540">
        <v>0</v>
      </c>
      <c r="E67" s="276">
        <f t="shared" si="5"/>
        <v>0</v>
      </c>
      <c r="F67" s="540"/>
      <c r="G67" s="540"/>
      <c r="H67" s="276">
        <f t="shared" si="6"/>
        <v>0</v>
      </c>
      <c r="I67" s="541"/>
      <c r="J67" s="277" cm="1">
        <f t="array" ref="J67">_xlfn.IFS(I67=Listes!$C$2,'1. DONNEES DE BASE'!$B$2*H67,'FT_PROD (2)'!I67=Listes!$C$3,'1. DONNEES DE BASE'!$B$3*'FT_PROD (2)'!H67,TRUE,0)</f>
        <v>0</v>
      </c>
      <c r="K67" s="488"/>
    </row>
    <row r="68" spans="2:11" ht="13.15">
      <c r="B68" s="543" t="s">
        <v>48</v>
      </c>
      <c r="C68" s="540">
        <v>0</v>
      </c>
      <c r="D68" s="540">
        <v>15</v>
      </c>
      <c r="E68" s="276">
        <f t="shared" si="5"/>
        <v>15</v>
      </c>
      <c r="F68" s="540" t="s">
        <v>171</v>
      </c>
      <c r="G68" s="540">
        <v>3.55</v>
      </c>
      <c r="H68" s="276">
        <f t="shared" si="6"/>
        <v>0.88749999999999996</v>
      </c>
      <c r="I68" s="541" t="s">
        <v>176</v>
      </c>
      <c r="J68" s="277" cm="1">
        <f t="array" ref="J68">_xlfn.IFS(I68=Listes!$C$2,'1. DONNEES DE BASE'!$B$2*H68,'FT_PROD (2)'!I68=Listes!$C$3,'1. DONNEES DE BASE'!$B$3*'FT_PROD (2)'!H68,TRUE,0)</f>
        <v>0.17749999999999999</v>
      </c>
      <c r="K68" s="488"/>
    </row>
    <row r="69" spans="2:11" ht="13.15">
      <c r="B69" s="543" t="s">
        <v>302</v>
      </c>
      <c r="C69" s="540">
        <v>0</v>
      </c>
      <c r="D69" s="540">
        <v>0</v>
      </c>
      <c r="E69" s="276">
        <f t="shared" si="5"/>
        <v>0</v>
      </c>
      <c r="F69" s="540"/>
      <c r="G69" s="540"/>
      <c r="H69" s="276">
        <f t="shared" si="6"/>
        <v>0</v>
      </c>
      <c r="I69" s="541"/>
      <c r="J69" s="277" cm="1">
        <f t="array" ref="J69">_xlfn.IFS(I69=Listes!$C$2,'1. DONNEES DE BASE'!$B$2*H69,'FT_PROD (2)'!I69=Listes!$C$3,'1. DONNEES DE BASE'!$B$3*'FT_PROD (2)'!H69,TRUE,0)</f>
        <v>0</v>
      </c>
      <c r="K69" s="488"/>
    </row>
    <row r="70" spans="2:11" ht="13.15">
      <c r="B70" s="543" t="s">
        <v>303</v>
      </c>
      <c r="C70" s="540">
        <v>0</v>
      </c>
      <c r="D70" s="540">
        <v>0</v>
      </c>
      <c r="E70" s="276">
        <f t="shared" si="5"/>
        <v>0</v>
      </c>
      <c r="F70" s="540"/>
      <c r="G70" s="540"/>
      <c r="H70" s="276">
        <f t="shared" si="6"/>
        <v>0</v>
      </c>
      <c r="I70" s="541"/>
      <c r="J70" s="277" cm="1">
        <f t="array" ref="J70">_xlfn.IFS(I70=Listes!$C$2,'1. DONNEES DE BASE'!$B$2*H70,'FT_PROD (2)'!I70=Listes!$C$3,'1. DONNEES DE BASE'!$B$3*'FT_PROD (2)'!H70,TRUE,0)</f>
        <v>0</v>
      </c>
      <c r="K70" s="488"/>
    </row>
    <row r="71" spans="2:11" ht="13.15">
      <c r="B71" s="543" t="s">
        <v>304</v>
      </c>
      <c r="C71" s="540">
        <v>0</v>
      </c>
      <c r="D71" s="540">
        <v>0</v>
      </c>
      <c r="E71" s="276">
        <f t="shared" si="5"/>
        <v>0</v>
      </c>
      <c r="F71" s="540"/>
      <c r="G71" s="540"/>
      <c r="H71" s="276">
        <f t="shared" si="6"/>
        <v>0</v>
      </c>
      <c r="I71" s="541"/>
      <c r="J71" s="277" cm="1">
        <f t="array" ref="J71">_xlfn.IFS(I71=Listes!$C$2,'1. DONNEES DE BASE'!$B$2*H71,'FT_PROD (2)'!I71=Listes!$C$3,'1. DONNEES DE BASE'!$B$3*'FT_PROD (2)'!H71,TRUE,0)</f>
        <v>0</v>
      </c>
      <c r="K71" s="488"/>
    </row>
    <row r="72" spans="2:11" ht="13.15">
      <c r="B72" s="543" t="s">
        <v>305</v>
      </c>
      <c r="C72" s="540">
        <v>0</v>
      </c>
      <c r="D72" s="540">
        <v>0</v>
      </c>
      <c r="E72" s="276">
        <f t="shared" si="5"/>
        <v>0</v>
      </c>
      <c r="F72" s="540"/>
      <c r="G72" s="540"/>
      <c r="H72" s="276">
        <f t="shared" si="6"/>
        <v>0</v>
      </c>
      <c r="I72" s="541"/>
      <c r="J72" s="277" cm="1">
        <f t="array" ref="J72">_xlfn.IFS(I72=Listes!$C$2,'1. DONNEES DE BASE'!$B$2*H72,'FT_PROD (2)'!I72=Listes!$C$3,'1. DONNEES DE BASE'!$B$3*'FT_PROD (2)'!H72,TRUE,0)</f>
        <v>0</v>
      </c>
      <c r="K72" s="488"/>
    </row>
    <row r="73" spans="2:11" ht="13.8" thickBot="1">
      <c r="B73" s="278" t="s">
        <v>47</v>
      </c>
      <c r="C73" s="279">
        <f>SUM(C61:C72)</f>
        <v>288</v>
      </c>
      <c r="D73" s="279">
        <f>SUM(D61:D72)</f>
        <v>255</v>
      </c>
      <c r="E73" s="279">
        <f>SUM(E61:E72)</f>
        <v>543</v>
      </c>
      <c r="F73" s="279"/>
      <c r="G73" s="279"/>
      <c r="H73" s="279">
        <f>SUM(H61:H72)</f>
        <v>10.887499999999999</v>
      </c>
      <c r="I73" s="279"/>
      <c r="J73" s="18">
        <f>SUMIF(J61:J72,"&lt;&gt;#N/A")</f>
        <v>1.4593</v>
      </c>
      <c r="K73" s="488"/>
    </row>
    <row r="74" spans="2:11">
      <c r="B74" s="488"/>
      <c r="C74" s="488"/>
      <c r="D74" s="488"/>
      <c r="E74" s="488"/>
      <c r="F74" s="488"/>
      <c r="G74" s="488"/>
      <c r="H74" s="488"/>
      <c r="I74" s="488"/>
      <c r="J74" s="488"/>
      <c r="K74" s="488"/>
    </row>
    <row r="75" spans="2:11">
      <c r="B75" s="488"/>
      <c r="C75" s="488"/>
      <c r="D75" s="488"/>
      <c r="E75" s="488"/>
      <c r="F75" s="488"/>
      <c r="G75" s="488"/>
      <c r="H75" s="488"/>
      <c r="I75" s="488"/>
      <c r="J75" s="488"/>
      <c r="K75" s="488"/>
    </row>
    <row r="76" spans="2:11">
      <c r="B76" s="544" t="s">
        <v>531</v>
      </c>
      <c r="C76" s="544"/>
      <c r="D76" s="488"/>
      <c r="E76" s="488"/>
      <c r="F76" s="488"/>
      <c r="G76" s="488"/>
      <c r="H76" s="488"/>
      <c r="I76" s="488"/>
      <c r="J76" s="488"/>
      <c r="K76" s="488"/>
    </row>
    <row r="77" spans="2:11" ht="13.15">
      <c r="B77" s="545" t="s">
        <v>532</v>
      </c>
      <c r="C77" s="280">
        <f>SUMIFS(G17:G32,C17:C32,"Auto")</f>
        <v>175</v>
      </c>
      <c r="D77" s="488"/>
      <c r="E77" s="488"/>
      <c r="F77" s="488"/>
      <c r="G77" s="488"/>
      <c r="H77" s="488"/>
      <c r="I77" s="488"/>
      <c r="J77" s="488"/>
      <c r="K77" s="488"/>
    </row>
    <row r="78" spans="2:11" ht="13.15">
      <c r="B78" s="545" t="s">
        <v>533</v>
      </c>
      <c r="C78" s="281">
        <f>C77/D8</f>
        <v>0.77777777777777779</v>
      </c>
      <c r="D78" s="488"/>
      <c r="E78" s="488"/>
      <c r="F78" s="488"/>
      <c r="G78" s="488"/>
      <c r="H78" s="488"/>
      <c r="I78" s="488"/>
      <c r="J78" s="488"/>
      <c r="K78" s="488"/>
    </row>
  </sheetData>
  <sheetProtection algorithmName="SHA-512" hashValue="bq3kcfEiLKG32/armz3AMkIZj97yyjzQVGABWt8l8PZR0UWRK09ljfgAOzxv7YPhYz1U5xWHC0856hiXZnO+Sg==" saltValue="5fUw41OsclIpqgWL4R7j8g==" spinCount="100000" sheet="1" objects="1" scenarios="1" sort="0" autoFilter="0"/>
  <protectedRanges>
    <protectedRange sqref="I61:I72" name="TYpe energie"/>
    <protectedRange sqref="C2:C3 D5:D6 D8 D10:D11 G11:G12" name="Données de base"/>
    <protectedRange sqref="I17:K32 I34:K42 B34:F42 B17:F32" name="Ingred et consommables"/>
    <protectedRange sqref="B61:D72 F61:G72" name="Energie et travail"/>
  </protectedRanges>
  <mergeCells count="17">
    <mergeCell ref="B33:F3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I16:K16"/>
    <mergeCell ref="B43:F43"/>
    <mergeCell ref="B44:F44"/>
    <mergeCell ref="B48:G48"/>
    <mergeCell ref="I48:K48"/>
    <mergeCell ref="B59:J59"/>
  </mergeCells>
  <dataValidations count="2">
    <dataValidation type="list" allowBlank="1" showInputMessage="1" showErrorMessage="1" errorTitle="Consommable invalide" error="Veuillez sélectionner un consommable dans la liste." sqref="B34:B42" xr:uid="{BE6B95E8-DEE0-4E68-9A33-1C3E20C7DC5D}">
      <formula1>ListeConsommables</formula1>
    </dataValidation>
    <dataValidation type="list" allowBlank="1" showInputMessage="1" showErrorMessage="1" errorTitle="Ingrédient invalide" error="Veuillez sélectionner un ingrédient dans la liste." sqref="B17:B32" xr:uid="{2E37AD67-2D49-434B-8A90-BE53DBC7A861}">
      <formula1>ListeIngredients</formula1>
    </dataValidation>
  </dataValidations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6A8D929-9A05-47A8-8DEB-8D3C8D03CB5D}">
          <x14:formula1>
            <xm:f>Listes!$C$2:$C$5</xm:f>
          </x14:formula1>
          <xm:sqref>I61:I63 I65:I72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62267-A440-4097-B30D-3E6E1A64E93C}">
  <sheetPr>
    <pageSetUpPr fitToPage="1"/>
  </sheetPr>
  <dimension ref="B1:Q78"/>
  <sheetViews>
    <sheetView showGridLines="0" zoomScale="85" zoomScaleNormal="85" workbookViewId="0">
      <selection activeCell="C3" sqref="C3"/>
    </sheetView>
  </sheetViews>
  <sheetFormatPr baseColWidth="10" defaultColWidth="11.44140625" defaultRowHeight="12.55"/>
  <cols>
    <col min="1" max="1" width="1.44140625" style="251" customWidth="1"/>
    <col min="2" max="2" width="23.109375" style="251" customWidth="1"/>
    <col min="3" max="3" width="20" style="251" customWidth="1"/>
    <col min="4" max="4" width="19" style="251" customWidth="1"/>
    <col min="5" max="5" width="13.6640625" style="251" bestFit="1" customWidth="1"/>
    <col min="6" max="6" width="23.21875" style="251" customWidth="1"/>
    <col min="7" max="7" width="14.5546875" style="251" customWidth="1"/>
    <col min="8" max="8" width="14.109375" style="251" customWidth="1"/>
    <col min="9" max="9" width="17.33203125" style="251" customWidth="1"/>
    <col min="10" max="10" width="16.6640625" style="251" customWidth="1"/>
    <col min="11" max="11" width="12.109375" style="251" customWidth="1"/>
    <col min="12" max="16384" width="11.44140625" style="251"/>
  </cols>
  <sheetData>
    <row r="1" spans="2:11" ht="47.3" customHeight="1">
      <c r="B1" s="485" t="s">
        <v>37</v>
      </c>
      <c r="C1" s="486"/>
      <c r="D1" s="486"/>
      <c r="E1" s="486"/>
      <c r="F1" s="486"/>
      <c r="G1" s="486"/>
      <c r="H1" s="486"/>
      <c r="I1" s="486"/>
      <c r="J1" s="487"/>
      <c r="K1" s="488"/>
    </row>
    <row r="2" spans="2:11" ht="16.3" customHeight="1">
      <c r="B2" s="489" t="s">
        <v>39</v>
      </c>
      <c r="C2" s="490" t="s">
        <v>309</v>
      </c>
      <c r="D2" s="491"/>
      <c r="E2" s="492"/>
      <c r="F2" s="486"/>
      <c r="G2" s="486"/>
      <c r="H2" s="486"/>
      <c r="I2" s="486"/>
      <c r="J2" s="488"/>
      <c r="K2" s="488"/>
    </row>
    <row r="3" spans="2:11" ht="18.8" customHeight="1">
      <c r="B3" s="489" t="s">
        <v>23</v>
      </c>
      <c r="C3" s="490" t="s">
        <v>560</v>
      </c>
      <c r="D3" s="491"/>
      <c r="E3" s="492"/>
      <c r="F3" s="486"/>
      <c r="G3" s="486"/>
      <c r="H3" s="486"/>
      <c r="I3" s="486"/>
      <c r="J3" s="488"/>
      <c r="K3" s="488"/>
    </row>
    <row r="4" spans="2:11" ht="18.8" customHeight="1">
      <c r="B4" s="493"/>
      <c r="C4" s="486"/>
      <c r="D4" s="486"/>
      <c r="E4" s="488"/>
      <c r="F4" s="486"/>
      <c r="G4" s="486"/>
      <c r="H4" s="905" t="s">
        <v>306</v>
      </c>
      <c r="I4" s="905"/>
      <c r="J4" s="905"/>
      <c r="K4" s="488"/>
    </row>
    <row r="5" spans="2:11" ht="19.899999999999999" customHeight="1">
      <c r="B5" s="489" t="s">
        <v>284</v>
      </c>
      <c r="C5" s="494"/>
      <c r="D5" s="495">
        <v>50</v>
      </c>
      <c r="E5" s="496"/>
      <c r="F5" s="497"/>
      <c r="G5" s="498"/>
      <c r="H5" s="906" t="s">
        <v>285</v>
      </c>
      <c r="I5" s="896"/>
      <c r="J5" s="896"/>
      <c r="K5" s="488"/>
    </row>
    <row r="6" spans="2:11" ht="19.899999999999999" customHeight="1">
      <c r="B6" s="489" t="s">
        <v>286</v>
      </c>
      <c r="C6" s="494"/>
      <c r="D6" s="499">
        <v>0.2</v>
      </c>
      <c r="E6" s="496"/>
      <c r="F6" s="497"/>
      <c r="G6" s="498"/>
      <c r="H6" s="896"/>
      <c r="I6" s="896"/>
      <c r="J6" s="896"/>
      <c r="K6" s="488"/>
    </row>
    <row r="7" spans="2:11" ht="19.899999999999999" customHeight="1">
      <c r="B7" s="489" t="s">
        <v>35</v>
      </c>
      <c r="C7" s="494"/>
      <c r="D7" s="252">
        <f>D5/D6</f>
        <v>250</v>
      </c>
      <c r="E7" s="496"/>
      <c r="F7" s="497"/>
      <c r="G7" s="498"/>
      <c r="H7" s="896"/>
      <c r="I7" s="896"/>
      <c r="J7" s="896"/>
      <c r="K7" s="488"/>
    </row>
    <row r="8" spans="2:11" ht="19.899999999999999" customHeight="1">
      <c r="B8" s="489" t="s">
        <v>36</v>
      </c>
      <c r="C8" s="494"/>
      <c r="D8" s="499">
        <v>225</v>
      </c>
      <c r="E8" s="496"/>
      <c r="F8" s="497"/>
      <c r="G8" s="498"/>
      <c r="H8" s="896" t="s">
        <v>287</v>
      </c>
      <c r="I8" s="896"/>
      <c r="J8" s="896"/>
      <c r="K8" s="488"/>
    </row>
    <row r="9" spans="2:11" ht="19.899999999999999" customHeight="1">
      <c r="B9" s="489" t="s">
        <v>34</v>
      </c>
      <c r="C9" s="494"/>
      <c r="D9" s="10">
        <f>1-(D8/D7)</f>
        <v>9.9999999999999978E-2</v>
      </c>
      <c r="E9" s="496"/>
      <c r="F9" s="497"/>
      <c r="G9" s="498"/>
      <c r="H9" s="896" t="s">
        <v>288</v>
      </c>
      <c r="I9" s="896"/>
      <c r="J9" s="896"/>
      <c r="K9" s="488"/>
    </row>
    <row r="10" spans="2:11" ht="19.899999999999999" customHeight="1">
      <c r="B10" s="489" t="s">
        <v>25</v>
      </c>
      <c r="C10" s="494"/>
      <c r="D10" s="500">
        <v>4.0599999999999996</v>
      </c>
      <c r="E10" s="489" t="s">
        <v>32</v>
      </c>
      <c r="F10" s="501"/>
      <c r="G10" s="253">
        <f>G12/(1+G11)</f>
        <v>4.6698113207547172</v>
      </c>
      <c r="H10" s="896"/>
      <c r="I10" s="896"/>
      <c r="J10" s="896"/>
      <c r="K10" s="488"/>
    </row>
    <row r="11" spans="2:11" ht="19.899999999999999" customHeight="1">
      <c r="B11" s="489" t="s">
        <v>3</v>
      </c>
      <c r="C11" s="494"/>
      <c r="D11" s="502">
        <v>0.06</v>
      </c>
      <c r="E11" s="489" t="s">
        <v>3</v>
      </c>
      <c r="F11" s="501"/>
      <c r="G11" s="503">
        <v>0.06</v>
      </c>
      <c r="H11" s="896"/>
      <c r="I11" s="896"/>
      <c r="J11" s="896"/>
      <c r="K11" s="488"/>
    </row>
    <row r="12" spans="2:11" ht="19.899999999999999" customHeight="1">
      <c r="B12" s="489" t="s">
        <v>33</v>
      </c>
      <c r="C12" s="494"/>
      <c r="D12" s="254">
        <f>D10*(1+D11)</f>
        <v>4.3035999999999994</v>
      </c>
      <c r="E12" s="489" t="s">
        <v>24</v>
      </c>
      <c r="F12" s="501"/>
      <c r="G12" s="504">
        <v>4.95</v>
      </c>
      <c r="H12" s="896"/>
      <c r="I12" s="896"/>
      <c r="J12" s="896"/>
      <c r="K12" s="488"/>
    </row>
    <row r="13" spans="2:11" ht="19.899999999999999" customHeight="1">
      <c r="B13" s="489" t="s">
        <v>289</v>
      </c>
      <c r="C13" s="494"/>
      <c r="D13" s="10">
        <f>G10/D10-1</f>
        <v>0.15019983269820636</v>
      </c>
      <c r="E13" s="505"/>
      <c r="F13" s="505"/>
      <c r="G13" s="505"/>
      <c r="H13" s="896" t="s">
        <v>290</v>
      </c>
      <c r="I13" s="896"/>
      <c r="J13" s="896"/>
      <c r="K13" s="488"/>
    </row>
    <row r="14" spans="2:11" ht="18.8" customHeight="1">
      <c r="B14" s="505"/>
      <c r="C14" s="505"/>
      <c r="D14" s="505"/>
      <c r="E14" s="505"/>
      <c r="F14" s="505"/>
      <c r="G14" s="505"/>
      <c r="H14" s="505"/>
      <c r="I14" s="505"/>
      <c r="J14" s="488"/>
      <c r="K14" s="488"/>
    </row>
    <row r="15" spans="2:11" ht="6.75" customHeight="1" thickBot="1">
      <c r="B15" s="488"/>
      <c r="C15" s="488"/>
      <c r="D15" s="488"/>
      <c r="E15" s="488"/>
      <c r="F15" s="488"/>
      <c r="G15" s="488"/>
      <c r="H15" s="488"/>
      <c r="I15" s="488"/>
      <c r="J15" s="488"/>
      <c r="K15" s="488"/>
    </row>
    <row r="16" spans="2:11" s="255" customFormat="1" ht="45.1" customHeight="1">
      <c r="B16" s="506" t="s">
        <v>4</v>
      </c>
      <c r="C16" s="507" t="s">
        <v>5</v>
      </c>
      <c r="D16" s="508" t="s">
        <v>6</v>
      </c>
      <c r="E16" s="508" t="s">
        <v>7</v>
      </c>
      <c r="F16" s="508" t="s">
        <v>8</v>
      </c>
      <c r="G16" s="508" t="s">
        <v>300</v>
      </c>
      <c r="H16" s="509" t="s">
        <v>30</v>
      </c>
      <c r="I16" s="899" t="s">
        <v>22</v>
      </c>
      <c r="J16" s="899"/>
      <c r="K16" s="900"/>
    </row>
    <row r="17" spans="2:11" s="260" customFormat="1" ht="17.25" customHeight="1">
      <c r="B17" s="477" t="s">
        <v>14</v>
      </c>
      <c r="C17" s="256" t="str">
        <f>IF(ISBLANK(B17),"",_xlfn.XLOOKUP(B17,tblIngredients[Article],tblIngredients[Fournisseur],""))</f>
        <v>Auto</v>
      </c>
      <c r="D17" s="257" t="str">
        <f>IF(ISBLANK(B17),"",_xlfn.XLOOKUP(B17,tblIngredients[Article],tblIngredients[Unité conditionnement],""))</f>
        <v>1 kg</v>
      </c>
      <c r="E17" s="258">
        <f>IF(ISBLANK(B17),"",_xlfn.XLOOKUP(B17,tblIngredients[Article],tblIngredients[Coût d''achat HTVA  à l''unité],""))</f>
        <v>3.5</v>
      </c>
      <c r="F17" s="510">
        <v>50</v>
      </c>
      <c r="G17" s="259">
        <f>IF(OR(F17="",ISBLANK(F17)),"",E17*F17)</f>
        <v>175</v>
      </c>
      <c r="H17" s="11">
        <f>IF(OR(G17="",ISBLANK(G17)),"",G17/G$33)</f>
        <v>0.92115565556674106</v>
      </c>
      <c r="I17" s="511" t="s">
        <v>291</v>
      </c>
      <c r="J17" s="512"/>
      <c r="K17" s="513"/>
    </row>
    <row r="18" spans="2:11" s="260" customFormat="1" ht="17.25" customHeight="1">
      <c r="B18" s="477" t="s">
        <v>15</v>
      </c>
      <c r="C18" s="256" t="str">
        <f>IF(ISBLANK(B18),"",_xlfn.XLOOKUP(B18,tblIngredients[Article],tblIngredients[Fournisseur],""))</f>
        <v>Inbterbio</v>
      </c>
      <c r="D18" s="257" t="str">
        <f>IF(ISBLANK(B18),"",_xlfn.XLOOKUP(B18,tblIngredients[Article],tblIngredients[Unité conditionnement],""))</f>
        <v>1 kg</v>
      </c>
      <c r="E18" s="258">
        <f>IF(ISBLANK(B18),"",_xlfn.XLOOKUP(B18,tblIngredients[Article],tblIngredients[Coût d''achat HTVA  à l''unité],""))</f>
        <v>6</v>
      </c>
      <c r="F18" s="510">
        <v>0.5</v>
      </c>
      <c r="G18" s="259">
        <f t="shared" ref="G18:G32" si="0">IF(OR(F18="",ISBLANK(F18)),"",E18*F18)</f>
        <v>3</v>
      </c>
      <c r="H18" s="11">
        <f t="shared" ref="H18:H32" si="1">IF(OR(G18="",ISBLANK(G18)),"",G18/G$33)</f>
        <v>1.5791239809715561E-2</v>
      </c>
      <c r="I18" s="514"/>
      <c r="J18" s="512"/>
      <c r="K18" s="513"/>
    </row>
    <row r="19" spans="2:11" s="260" customFormat="1" ht="17.25" customHeight="1">
      <c r="B19" s="477" t="s">
        <v>16</v>
      </c>
      <c r="C19" s="256" t="str">
        <f>IF(ISBLANK(B19),"",_xlfn.XLOOKUP(B19,tblIngredients[Article],tblIngredients[Fournisseur],""))</f>
        <v>Interbio</v>
      </c>
      <c r="D19" s="257" t="str">
        <f>IF(ISBLANK(B19),"",_xlfn.XLOOKUP(B19,tblIngredients[Article],tblIngredients[Unité conditionnement],""))</f>
        <v>1 Botte</v>
      </c>
      <c r="E19" s="258">
        <f>IF(ISBLANK(B19),"",_xlfn.XLOOKUP(B19,tblIngredients[Article],tblIngredients[Coût d''achat HTVA  à l''unité],""))</f>
        <v>1.89</v>
      </c>
      <c r="F19" s="510">
        <v>4</v>
      </c>
      <c r="G19" s="259">
        <f t="shared" si="0"/>
        <v>7.56</v>
      </c>
      <c r="H19" s="11">
        <f t="shared" si="1"/>
        <v>3.9793924320483211E-2</v>
      </c>
      <c r="I19" s="514"/>
      <c r="J19" s="512"/>
      <c r="K19" s="513"/>
    </row>
    <row r="20" spans="2:11" s="260" customFormat="1" ht="17.25" customHeight="1">
      <c r="B20" s="477" t="s">
        <v>17</v>
      </c>
      <c r="C20" s="256" t="str">
        <f>IF(ISBLANK(B20),"",_xlfn.XLOOKUP(B20,tblIngredients[Article],tblIngredients[Fournisseur],""))</f>
        <v>Solucious</v>
      </c>
      <c r="D20" s="257" t="str">
        <f>IF(ISBLANK(B20),"",_xlfn.XLOOKUP(B20,tblIngredients[Article],tblIngredients[Unité conditionnement],""))</f>
        <v>1 L</v>
      </c>
      <c r="E20" s="258">
        <f>IF(ISBLANK(B20),"",_xlfn.XLOOKUP(B20,tblIngredients[Article],tblIngredients[Coût d''achat HTVA  à l''unité],""))</f>
        <v>17.649999999999999</v>
      </c>
      <c r="F20" s="510">
        <v>0.25</v>
      </c>
      <c r="G20" s="259">
        <f t="shared" si="0"/>
        <v>4.4124999999999996</v>
      </c>
      <c r="H20" s="11">
        <f t="shared" si="1"/>
        <v>2.3226281886789969E-2</v>
      </c>
      <c r="I20" s="514"/>
      <c r="J20" s="512"/>
      <c r="K20" s="513"/>
    </row>
    <row r="21" spans="2:11" s="260" customFormat="1" ht="17.25" customHeight="1">
      <c r="B21" s="477" t="s">
        <v>391</v>
      </c>
      <c r="C21" s="256" t="str">
        <f>IF(ISBLANK(B21),"",_xlfn.XLOOKUP(B21,tblIngredients[Article],tblIngredients[Fournisseur],""))</f>
        <v>Solucious</v>
      </c>
      <c r="D21" s="257" t="str">
        <f>IF(ISBLANK(B21),"",_xlfn.XLOOKUP(B21,tblIngredients[Article],tblIngredients[Unité conditionnement],""))</f>
        <v>1 Kg</v>
      </c>
      <c r="E21" s="258">
        <f>IF(ISBLANK(B21),"",_xlfn.XLOOKUP(B21,tblIngredients[Article],tblIngredients[Coût d''achat HTVA  à l''unité],""))</f>
        <v>6.25</v>
      </c>
      <c r="F21" s="510">
        <v>1E-3</v>
      </c>
      <c r="G21" s="259">
        <f t="shared" si="0"/>
        <v>6.2500000000000003E-3</v>
      </c>
      <c r="H21" s="11">
        <f t="shared" si="1"/>
        <v>3.2898416270240753E-5</v>
      </c>
      <c r="I21" s="514"/>
      <c r="J21" s="512"/>
      <c r="K21" s="513"/>
    </row>
    <row r="22" spans="2:11" s="260" customFormat="1" ht="17.25" customHeight="1">
      <c r="B22" s="477"/>
      <c r="C22" s="256" t="str">
        <f>IF(ISBLANK(B22),"",_xlfn.XLOOKUP(B22,tblIngredients[Article],tblIngredients[Fournisseur],""))</f>
        <v/>
      </c>
      <c r="D22" s="257" t="str">
        <f>IF(ISBLANK(B22),"",_xlfn.XLOOKUP(B22,tblIngredients[Article],tblIngredients[Unité conditionnement],""))</f>
        <v/>
      </c>
      <c r="E22" s="258" t="str">
        <f>IF(ISBLANK(B22),"",_xlfn.XLOOKUP(B22,tblIngredients[Article],tblIngredients[Coût d''achat HTVA  à l''unité],""))</f>
        <v/>
      </c>
      <c r="F22" s="510"/>
      <c r="G22" s="259" t="str">
        <f t="shared" si="0"/>
        <v/>
      </c>
      <c r="H22" s="11" t="str">
        <f t="shared" si="1"/>
        <v/>
      </c>
      <c r="I22" s="514"/>
      <c r="J22" s="512"/>
      <c r="K22" s="513"/>
    </row>
    <row r="23" spans="2:11" s="260" customFormat="1" ht="17.25" customHeight="1">
      <c r="B23" s="477"/>
      <c r="C23" s="256" t="str">
        <f>IF(ISBLANK(B23),"",_xlfn.XLOOKUP(B23,tblIngredients[Article],tblIngredients[Fournisseur],""))</f>
        <v/>
      </c>
      <c r="D23" s="257" t="str">
        <f>IF(ISBLANK(B23),"",_xlfn.XLOOKUP(B23,tblIngredients[Article],tblIngredients[Unité conditionnement],""))</f>
        <v/>
      </c>
      <c r="E23" s="258" t="str">
        <f>IF(ISBLANK(B23),"",_xlfn.XLOOKUP(B23,tblIngredients[Article],tblIngredients[Coût d''achat HTVA  à l''unité],""))</f>
        <v/>
      </c>
      <c r="F23" s="510"/>
      <c r="G23" s="259" t="str">
        <f t="shared" si="0"/>
        <v/>
      </c>
      <c r="H23" s="11" t="str">
        <f t="shared" si="1"/>
        <v/>
      </c>
      <c r="I23" s="514"/>
      <c r="J23" s="512"/>
      <c r="K23" s="513"/>
    </row>
    <row r="24" spans="2:11" s="260" customFormat="1" ht="17.25" customHeight="1">
      <c r="B24" s="477"/>
      <c r="C24" s="256" t="str">
        <f>IF(ISBLANK(B24),"",_xlfn.XLOOKUP(B24,tblIngredients[Article],tblIngredients[Fournisseur],""))</f>
        <v/>
      </c>
      <c r="D24" s="257" t="str">
        <f>IF(ISBLANK(B24),"",_xlfn.XLOOKUP(B24,tblIngredients[Article],tblIngredients[Unité conditionnement],""))</f>
        <v/>
      </c>
      <c r="E24" s="258" t="str">
        <f>IF(ISBLANK(B24),"",_xlfn.XLOOKUP(B24,tblIngredients[Article],tblIngredients[Coût d''achat HTVA  à l''unité],""))</f>
        <v/>
      </c>
      <c r="F24" s="510"/>
      <c r="G24" s="259" t="str">
        <f t="shared" si="0"/>
        <v/>
      </c>
      <c r="H24" s="11" t="str">
        <f t="shared" si="1"/>
        <v/>
      </c>
      <c r="I24" s="514"/>
      <c r="J24" s="512"/>
      <c r="K24" s="513"/>
    </row>
    <row r="25" spans="2:11" s="260" customFormat="1" ht="17.25" customHeight="1">
      <c r="B25" s="477"/>
      <c r="C25" s="256" t="str">
        <f>IF(ISBLANK(B25),"",_xlfn.XLOOKUP(B25,tblIngredients[Article],tblIngredients[Fournisseur],""))</f>
        <v/>
      </c>
      <c r="D25" s="257" t="str">
        <f>IF(ISBLANK(B25),"",_xlfn.XLOOKUP(B25,tblIngredients[Article],tblIngredients[Unité conditionnement],""))</f>
        <v/>
      </c>
      <c r="E25" s="258" t="str">
        <f>IF(ISBLANK(B25),"",_xlfn.XLOOKUP(B25,tblIngredients[Article],tblIngredients[Coût d''achat HTVA  à l''unité],""))</f>
        <v/>
      </c>
      <c r="F25" s="510"/>
      <c r="G25" s="259" t="str">
        <f t="shared" si="0"/>
        <v/>
      </c>
      <c r="H25" s="11" t="str">
        <f t="shared" si="1"/>
        <v/>
      </c>
      <c r="I25" s="514"/>
      <c r="J25" s="512"/>
      <c r="K25" s="513"/>
    </row>
    <row r="26" spans="2:11" s="260" customFormat="1" ht="17.25" customHeight="1">
      <c r="B26" s="477"/>
      <c r="C26" s="256" t="str">
        <f>IF(ISBLANK(B26),"",_xlfn.XLOOKUP(B26,tblIngredients[Article],tblIngredients[Fournisseur],""))</f>
        <v/>
      </c>
      <c r="D26" s="257" t="str">
        <f>IF(ISBLANK(B26),"",_xlfn.XLOOKUP(B26,tblIngredients[Article],tblIngredients[Unité conditionnement],""))</f>
        <v/>
      </c>
      <c r="E26" s="258" t="str">
        <f>IF(ISBLANK(B26),"",_xlfn.XLOOKUP(B26,tblIngredients[Article],tblIngredients[Coût d''achat HTVA  à l''unité],""))</f>
        <v/>
      </c>
      <c r="F26" s="510"/>
      <c r="G26" s="259" t="str">
        <f t="shared" si="0"/>
        <v/>
      </c>
      <c r="H26" s="11" t="str">
        <f t="shared" si="1"/>
        <v/>
      </c>
      <c r="I26" s="514"/>
      <c r="J26" s="512"/>
      <c r="K26" s="513"/>
    </row>
    <row r="27" spans="2:11" s="260" customFormat="1" ht="17.25" customHeight="1">
      <c r="B27" s="477"/>
      <c r="C27" s="256" t="str">
        <f>IF(ISBLANK(B27),"",_xlfn.XLOOKUP(B27,tblIngredients[Article],tblIngredients[Fournisseur],""))</f>
        <v/>
      </c>
      <c r="D27" s="257" t="str">
        <f>IF(ISBLANK(B27),"",_xlfn.XLOOKUP(B27,tblIngredients[Article],tblIngredients[Unité conditionnement],""))</f>
        <v/>
      </c>
      <c r="E27" s="258" t="str">
        <f>IF(ISBLANK(B27),"",_xlfn.XLOOKUP(B27,tblIngredients[Article],tblIngredients[Coût d''achat HTVA  à l''unité],""))</f>
        <v/>
      </c>
      <c r="F27" s="510"/>
      <c r="G27" s="259" t="str">
        <f t="shared" si="0"/>
        <v/>
      </c>
      <c r="H27" s="11" t="str">
        <f t="shared" si="1"/>
        <v/>
      </c>
      <c r="I27" s="514"/>
      <c r="J27" s="512"/>
      <c r="K27" s="513"/>
    </row>
    <row r="28" spans="2:11" s="260" customFormat="1" ht="17.25" customHeight="1">
      <c r="B28" s="477"/>
      <c r="C28" s="256"/>
      <c r="D28" s="257"/>
      <c r="E28" s="258"/>
      <c r="F28" s="510"/>
      <c r="G28" s="259"/>
      <c r="H28" s="11"/>
      <c r="I28" s="514"/>
      <c r="J28" s="512"/>
      <c r="K28" s="513"/>
    </row>
    <row r="29" spans="2:11" s="260" customFormat="1" ht="17.25" customHeight="1">
      <c r="B29" s="477"/>
      <c r="C29" s="256" t="str">
        <f>IF(ISBLANK(B29),"",_xlfn.XLOOKUP(B29,tblIngredients[Article],tblIngredients[Fournisseur],""))</f>
        <v/>
      </c>
      <c r="D29" s="257" t="str">
        <f>IF(ISBLANK(B29),"",_xlfn.XLOOKUP(B29,tblIngredients[Article],tblIngredients[Unité conditionnement],""))</f>
        <v/>
      </c>
      <c r="E29" s="258" t="str">
        <f>IF(ISBLANK(B29),"",_xlfn.XLOOKUP(B29,tblIngredients[Article],tblIngredients[Coût d''achat HTVA  à l''unité],""))</f>
        <v/>
      </c>
      <c r="F29" s="510"/>
      <c r="G29" s="259" t="str">
        <f t="shared" si="0"/>
        <v/>
      </c>
      <c r="H29" s="11" t="str">
        <f t="shared" si="1"/>
        <v/>
      </c>
      <c r="I29" s="514"/>
      <c r="J29" s="512"/>
      <c r="K29" s="513"/>
    </row>
    <row r="30" spans="2:11" s="260" customFormat="1" ht="17.25" customHeight="1">
      <c r="B30" s="477"/>
      <c r="C30" s="256" t="str">
        <f>IF(ISBLANK(B30),"",_xlfn.XLOOKUP(B30,tblIngredients[Article],tblIngredients[Fournisseur],""))</f>
        <v/>
      </c>
      <c r="D30" s="257" t="str">
        <f>IF(ISBLANK(B30),"",_xlfn.XLOOKUP(B30,tblIngredients[Article],tblIngredients[Unité conditionnement],""))</f>
        <v/>
      </c>
      <c r="E30" s="258" t="str">
        <f>IF(ISBLANK(B30),"",_xlfn.XLOOKUP(B30,tblIngredients[Article],tblIngredients[Coût d''achat HTVA  à l''unité],""))</f>
        <v/>
      </c>
      <c r="F30" s="510"/>
      <c r="G30" s="259" t="str">
        <f t="shared" si="0"/>
        <v/>
      </c>
      <c r="H30" s="11" t="str">
        <f t="shared" si="1"/>
        <v/>
      </c>
      <c r="I30" s="514"/>
      <c r="J30" s="512"/>
      <c r="K30" s="513"/>
    </row>
    <row r="31" spans="2:11" s="260" customFormat="1" ht="17.25" customHeight="1">
      <c r="B31" s="477"/>
      <c r="C31" s="256" t="str">
        <f>IF(ISBLANK(B31),"",_xlfn.XLOOKUP(B31,tblIngredients[Article],tblIngredients[Fournisseur],""))</f>
        <v/>
      </c>
      <c r="D31" s="257" t="str">
        <f>IF(ISBLANK(B31),"",_xlfn.XLOOKUP(B31,tblIngredients[Article],tblIngredients[Unité conditionnement],""))</f>
        <v/>
      </c>
      <c r="E31" s="258" t="str">
        <f>IF(ISBLANK(B31),"",_xlfn.XLOOKUP(B31,tblIngredients[Article],tblIngredients[Coût d''achat HTVA  à l''unité],""))</f>
        <v/>
      </c>
      <c r="F31" s="510"/>
      <c r="G31" s="259" t="str">
        <f t="shared" si="0"/>
        <v/>
      </c>
      <c r="H31" s="11" t="str">
        <f t="shared" si="1"/>
        <v/>
      </c>
      <c r="I31" s="514"/>
      <c r="J31" s="512"/>
      <c r="K31" s="513"/>
    </row>
    <row r="32" spans="2:11" s="260" customFormat="1" ht="17.25" customHeight="1">
      <c r="B32" s="477"/>
      <c r="C32" s="256" t="str">
        <f>IF(ISBLANK(B32),"",_xlfn.XLOOKUP(B32,tblIngredients[Article],tblIngredients[Fournisseur],""))</f>
        <v/>
      </c>
      <c r="D32" s="257" t="str">
        <f>IF(ISBLANK(B32),"",_xlfn.XLOOKUP(B32,tblIngredients[Article],tblIngredients[Unité conditionnement],""))</f>
        <v/>
      </c>
      <c r="E32" s="258" t="str">
        <f>IF(ISBLANK(B32),"",_xlfn.XLOOKUP(B32,tblIngredients[Article],tblIngredients[Coût d''achat HTVA  à l''unité],""))</f>
        <v/>
      </c>
      <c r="F32" s="510"/>
      <c r="G32" s="259" t="str">
        <f t="shared" si="0"/>
        <v/>
      </c>
      <c r="H32" s="11" t="str">
        <f t="shared" si="1"/>
        <v/>
      </c>
      <c r="I32" s="514"/>
      <c r="J32" s="512"/>
      <c r="K32" s="513"/>
    </row>
    <row r="33" spans="2:11" s="260" customFormat="1" ht="17.25" customHeight="1">
      <c r="B33" s="904" t="s">
        <v>29</v>
      </c>
      <c r="C33" s="904"/>
      <c r="D33" s="904"/>
      <c r="E33" s="904"/>
      <c r="F33" s="904"/>
      <c r="G33" s="261">
        <f>SUM(G17:G32)</f>
        <v>189.97874999999999</v>
      </c>
      <c r="H33" s="12">
        <f>IF(G33="","",G33/G$45)</f>
        <v>0.72032302138783477</v>
      </c>
      <c r="I33" s="262"/>
      <c r="J33" s="263"/>
      <c r="K33" s="264"/>
    </row>
    <row r="34" spans="2:11" s="260" customFormat="1" ht="17.25" customHeight="1">
      <c r="B34" s="477" t="s">
        <v>19</v>
      </c>
      <c r="C34" s="256" t="str">
        <f>IF(ISBLANK(B34),"",_xlfn.XLOOKUP(B34,tblConsommables[Article],tblConsommables[Fournisseur],""))</f>
        <v>Grossiste</v>
      </c>
      <c r="D34" s="257" t="str">
        <f>IF(ISBLANK(B34),"",_xlfn.XLOOKUP(B34,tblConsommables[Article],tblConsommables[Unité conditionnement],""))</f>
        <v>Unité</v>
      </c>
      <c r="E34" s="258">
        <f>IF(ISBLANK(B34),"",_xlfn.XLOOKUP(B34,tblConsommables[Article],tblConsommables[Coût d''achat HTVA  à l''unité],""))</f>
        <v>0.154</v>
      </c>
      <c r="F34" s="515">
        <v>230</v>
      </c>
      <c r="G34" s="265">
        <f>IF(OR(F34="",ISBLANK(F34)),"",E34*F34)</f>
        <v>35.42</v>
      </c>
      <c r="H34" s="13">
        <f>IF(OR(G34="",ISBLANK(G34)),"",G34/G$43)</f>
        <v>0.48988285410010646</v>
      </c>
      <c r="I34" s="514"/>
      <c r="J34" s="512"/>
      <c r="K34" s="516"/>
    </row>
    <row r="35" spans="2:11" s="260" customFormat="1" ht="17.25" customHeight="1">
      <c r="B35" s="477" t="s">
        <v>38</v>
      </c>
      <c r="C35" s="256" t="str">
        <f>IF(ISBLANK(B35),"",_xlfn.XLOOKUP(B35,tblConsommables[Article],tblConsommables[Fournisseur],""))</f>
        <v>Grossiste</v>
      </c>
      <c r="D35" s="257" t="str">
        <f>IF(ISBLANK(B35),"",_xlfn.XLOOKUP(B35,tblConsommables[Article],tblConsommables[Unité conditionnement],""))</f>
        <v>Unité</v>
      </c>
      <c r="E35" s="258">
        <f>IF(ISBLANK(B35),"",_xlfn.XLOOKUP(B35,tblConsommables[Article],tblConsommables[Coût d''achat HTVA  à l''unité],""))</f>
        <v>0.12</v>
      </c>
      <c r="F35" s="515">
        <v>250</v>
      </c>
      <c r="G35" s="265">
        <f t="shared" ref="G35:G42" si="2">IF(OR(F35="",ISBLANK(F35)),"",E35*F35)</f>
        <v>30</v>
      </c>
      <c r="H35" s="13">
        <f t="shared" ref="H35:H42" si="3">IF(OR(G35="",ISBLANK(G35)),"",G35/G$43)</f>
        <v>0.41492054271606982</v>
      </c>
      <c r="I35" s="514"/>
      <c r="J35" s="512"/>
      <c r="K35" s="516"/>
    </row>
    <row r="36" spans="2:11" s="260" customFormat="1" ht="17.25" customHeight="1">
      <c r="B36" s="477" t="s">
        <v>27</v>
      </c>
      <c r="C36" s="256" t="str">
        <f>IF(ISBLANK(B36),"",_xlfn.XLOOKUP(B36,tblConsommables[Article],tblConsommables[Fournisseur],""))</f>
        <v>Grossiste</v>
      </c>
      <c r="D36" s="257" t="str">
        <f>IF(ISBLANK(B36),"",_xlfn.XLOOKUP(B36,tblConsommables[Article],tblConsommables[Unité conditionnement],""))</f>
        <v>Rack de 1000</v>
      </c>
      <c r="E36" s="258">
        <f>IF(ISBLANK(B36),"",_xlfn.XLOOKUP(B36,tblConsommables[Article],tblConsommables[Coût d''achat HTVA  à l''unité],""))</f>
        <v>27.3</v>
      </c>
      <c r="F36" s="515">
        <v>0.25</v>
      </c>
      <c r="G36" s="265">
        <f t="shared" si="2"/>
        <v>6.8250000000000002</v>
      </c>
      <c r="H36" s="13">
        <f t="shared" si="3"/>
        <v>9.4394423467905886E-2</v>
      </c>
      <c r="I36" s="514"/>
      <c r="J36" s="512"/>
      <c r="K36" s="516"/>
    </row>
    <row r="37" spans="2:11" s="260" customFormat="1" ht="17.25" customHeight="1">
      <c r="B37" s="477" t="s">
        <v>402</v>
      </c>
      <c r="C37" s="256" t="str">
        <f>IF(ISBLANK(B37),"",_xlfn.XLOOKUP(B37,tblConsommables[Article],tblConsommables[Fournisseur],""))</f>
        <v>Grossiste</v>
      </c>
      <c r="D37" s="257" t="str">
        <f>IF(ISBLANK(B37),"",_xlfn.XLOOKUP(B37,tblConsommables[Article],tblConsommables[Unité conditionnement],""))</f>
        <v>Rack de 1000</v>
      </c>
      <c r="E37" s="258">
        <f>IF(ISBLANK(B37),"",_xlfn.XLOOKUP(B37,tblConsommables[Article],tblConsommables[Coût d''achat HTVA  à l''unité],""))</f>
        <v>58</v>
      </c>
      <c r="F37" s="515">
        <v>1E-3</v>
      </c>
      <c r="G37" s="265">
        <f t="shared" si="2"/>
        <v>5.8000000000000003E-2</v>
      </c>
      <c r="H37" s="13">
        <f t="shared" si="3"/>
        <v>8.0217971591773501E-4</v>
      </c>
      <c r="I37" s="514"/>
      <c r="J37" s="512"/>
      <c r="K37" s="516"/>
    </row>
    <row r="38" spans="2:11" s="260" customFormat="1" ht="17.25" customHeight="1">
      <c r="B38" s="477"/>
      <c r="C38" s="256" t="str">
        <f>IF(ISBLANK(B38),"",_xlfn.XLOOKUP(B38,tblConsommables[Article],tblConsommables[Fournisseur],""))</f>
        <v/>
      </c>
      <c r="D38" s="257" t="str">
        <f>IF(ISBLANK(B38),"",_xlfn.XLOOKUP(B38,tblConsommables[Article],tblConsommables[Unité conditionnement],""))</f>
        <v/>
      </c>
      <c r="E38" s="258" t="str">
        <f>IF(ISBLANK(B38),"",_xlfn.XLOOKUP(B38,tblConsommables[Article],tblConsommables[Coût d''achat HTVA  à l''unité],""))</f>
        <v/>
      </c>
      <c r="F38" s="515"/>
      <c r="G38" s="265" t="str">
        <f t="shared" si="2"/>
        <v/>
      </c>
      <c r="H38" s="13" t="str">
        <f t="shared" si="3"/>
        <v/>
      </c>
      <c r="I38" s="514"/>
      <c r="J38" s="512"/>
      <c r="K38" s="516"/>
    </row>
    <row r="39" spans="2:11" s="260" customFormat="1" ht="17.25" customHeight="1">
      <c r="B39" s="477"/>
      <c r="C39" s="256" t="str">
        <f>IF(ISBLANK(B39),"",_xlfn.XLOOKUP(B39,tblConsommables[Article],tblConsommables[Fournisseur],""))</f>
        <v/>
      </c>
      <c r="D39" s="257" t="str">
        <f>IF(ISBLANK(B39),"",_xlfn.XLOOKUP(B39,tblConsommables[Article],tblConsommables[Unité conditionnement],""))</f>
        <v/>
      </c>
      <c r="E39" s="258" t="str">
        <f>IF(ISBLANK(B39),"",_xlfn.XLOOKUP(B39,tblConsommables[Article],tblConsommables[Coût d''achat HTVA  à l''unité],""))</f>
        <v/>
      </c>
      <c r="F39" s="515"/>
      <c r="G39" s="265" t="str">
        <f t="shared" si="2"/>
        <v/>
      </c>
      <c r="H39" s="13" t="str">
        <f t="shared" si="3"/>
        <v/>
      </c>
      <c r="I39" s="514"/>
      <c r="J39" s="512"/>
      <c r="K39" s="516"/>
    </row>
    <row r="40" spans="2:11" s="260" customFormat="1" ht="17.25" customHeight="1">
      <c r="B40" s="477"/>
      <c r="C40" s="256" t="str">
        <f>IF(ISBLANK(B40),"",_xlfn.XLOOKUP(B40,tblConsommables[Article],tblConsommables[Fournisseur],""))</f>
        <v/>
      </c>
      <c r="D40" s="257" t="str">
        <f>IF(ISBLANK(B40),"",_xlfn.XLOOKUP(B40,tblConsommables[Article],tblConsommables[Unité conditionnement],""))</f>
        <v/>
      </c>
      <c r="E40" s="258" t="str">
        <f>IF(ISBLANK(B40),"",_xlfn.XLOOKUP(B40,tblConsommables[Article],tblConsommables[Coût d''achat HTVA  à l''unité],""))</f>
        <v/>
      </c>
      <c r="F40" s="515"/>
      <c r="G40" s="265" t="str">
        <f t="shared" si="2"/>
        <v/>
      </c>
      <c r="H40" s="13" t="str">
        <f t="shared" si="3"/>
        <v/>
      </c>
      <c r="I40" s="514"/>
      <c r="J40" s="512"/>
      <c r="K40" s="516"/>
    </row>
    <row r="41" spans="2:11" s="260" customFormat="1" ht="17.25" customHeight="1">
      <c r="B41" s="477"/>
      <c r="C41" s="256" t="str">
        <f>IF(ISBLANK(B41),"",_xlfn.XLOOKUP(B41,tblConsommables[Article],tblConsommables[Fournisseur],""))</f>
        <v/>
      </c>
      <c r="D41" s="257" t="str">
        <f>IF(ISBLANK(B41),"",_xlfn.XLOOKUP(B41,tblConsommables[Article],tblConsommables[Unité conditionnement],""))</f>
        <v/>
      </c>
      <c r="E41" s="258" t="str">
        <f>IF(ISBLANK(B41),"",_xlfn.XLOOKUP(B41,tblConsommables[Article],tblConsommables[Coût d''achat HTVA  à l''unité],""))</f>
        <v/>
      </c>
      <c r="F41" s="515"/>
      <c r="G41" s="265" t="str">
        <f t="shared" si="2"/>
        <v/>
      </c>
      <c r="H41" s="13" t="str">
        <f t="shared" si="3"/>
        <v/>
      </c>
      <c r="I41" s="514"/>
      <c r="J41" s="512"/>
      <c r="K41" s="516"/>
    </row>
    <row r="42" spans="2:11" s="260" customFormat="1" ht="17.25" customHeight="1" thickBot="1">
      <c r="B42" s="477"/>
      <c r="C42" s="256" t="str">
        <f>IF(ISBLANK(B42),"",_xlfn.XLOOKUP(B42,tblConsommables[Article],tblConsommables[Fournisseur],""))</f>
        <v/>
      </c>
      <c r="D42" s="257" t="str">
        <f>IF(ISBLANK(B42),"",_xlfn.XLOOKUP(B42,tblConsommables[Article],tblConsommables[Unité conditionnement],""))</f>
        <v/>
      </c>
      <c r="E42" s="258" t="str">
        <f>IF(ISBLANK(B42),"",_xlfn.XLOOKUP(B42,tblConsommables[Article],tblConsommables[Coût d''achat HTVA  à l''unité],""))</f>
        <v/>
      </c>
      <c r="F42" s="517"/>
      <c r="G42" s="265" t="str">
        <f t="shared" si="2"/>
        <v/>
      </c>
      <c r="H42" s="13" t="str">
        <f t="shared" si="3"/>
        <v/>
      </c>
      <c r="I42" s="514"/>
      <c r="J42" s="512"/>
      <c r="K42" s="516"/>
    </row>
    <row r="43" spans="2:11" s="260" customFormat="1" ht="17.25" customHeight="1" thickBot="1">
      <c r="B43" s="897" t="s">
        <v>31</v>
      </c>
      <c r="C43" s="898"/>
      <c r="D43" s="898"/>
      <c r="E43" s="898"/>
      <c r="F43" s="898"/>
      <c r="G43" s="266">
        <f>SUM(G34:G42)</f>
        <v>72.303000000000011</v>
      </c>
      <c r="H43" s="14">
        <f>IF(G43="","",G43/G$45)</f>
        <v>0.27414389985935073</v>
      </c>
      <c r="I43" s="267"/>
      <c r="J43" s="267"/>
      <c r="K43" s="267"/>
    </row>
    <row r="44" spans="2:11" s="260" customFormat="1" ht="17.25" customHeight="1">
      <c r="B44" s="897" t="s">
        <v>180</v>
      </c>
      <c r="C44" s="898"/>
      <c r="D44" s="898"/>
      <c r="E44" s="898"/>
      <c r="F44" s="898"/>
      <c r="G44" s="268">
        <f>J73</f>
        <v>1.4593</v>
      </c>
      <c r="H44" s="14">
        <f>IF(G44="","",G44/G$45)</f>
        <v>5.5330787528145515E-3</v>
      </c>
      <c r="I44" s="269"/>
      <c r="J44" s="267"/>
      <c r="K44" s="267"/>
    </row>
    <row r="45" spans="2:11" s="260" customFormat="1" ht="17.25" customHeight="1">
      <c r="B45" s="518" t="s">
        <v>292</v>
      </c>
      <c r="C45" s="519"/>
      <c r="D45" s="519"/>
      <c r="E45" s="519"/>
      <c r="F45" s="520"/>
      <c r="G45" s="270">
        <f>SUM(G33,G43,G44)</f>
        <v>263.74104999999997</v>
      </c>
      <c r="H45" s="15">
        <f>IF(G45="","",G45/G$45)</f>
        <v>1</v>
      </c>
      <c r="I45" s="521"/>
      <c r="J45" s="521"/>
      <c r="K45" s="521"/>
    </row>
    <row r="46" spans="2:11" s="260" customFormat="1" ht="17.25" customHeight="1">
      <c r="B46" s="489" t="s">
        <v>293</v>
      </c>
      <c r="C46" s="522"/>
      <c r="D46" s="522"/>
      <c r="E46" s="522"/>
      <c r="F46" s="523"/>
      <c r="G46" s="270">
        <f>G45/D8</f>
        <v>1.1721824444444444</v>
      </c>
      <c r="H46" s="524"/>
      <c r="I46" s="521"/>
      <c r="J46" s="521"/>
      <c r="K46" s="521"/>
    </row>
    <row r="47" spans="2:11" s="260" customFormat="1" ht="17.25" customHeight="1">
      <c r="B47" s="521"/>
      <c r="C47" s="521"/>
      <c r="D47" s="521"/>
      <c r="E47" s="521"/>
      <c r="F47" s="521"/>
      <c r="G47" s="521"/>
      <c r="H47" s="525"/>
      <c r="I47" s="521"/>
      <c r="J47" s="521"/>
      <c r="K47" s="521"/>
    </row>
    <row r="48" spans="2:11" s="260" customFormat="1" ht="17.25" customHeight="1">
      <c r="B48" s="901" t="s">
        <v>294</v>
      </c>
      <c r="C48" s="902"/>
      <c r="D48" s="902"/>
      <c r="E48" s="902"/>
      <c r="F48" s="902"/>
      <c r="G48" s="903"/>
      <c r="H48" s="526"/>
      <c r="I48" s="901" t="s">
        <v>26</v>
      </c>
      <c r="J48" s="902"/>
      <c r="K48" s="903"/>
    </row>
    <row r="49" spans="2:17" s="260" customFormat="1" ht="17.25" customHeight="1">
      <c r="B49" s="489" t="s">
        <v>295</v>
      </c>
      <c r="C49" s="527"/>
      <c r="D49" s="527"/>
      <c r="E49" s="528"/>
      <c r="F49" s="529"/>
      <c r="G49" s="271">
        <f>D10</f>
        <v>4.0599999999999996</v>
      </c>
      <c r="H49" s="530"/>
      <c r="I49" s="489" t="s">
        <v>9</v>
      </c>
      <c r="J49" s="523"/>
      <c r="K49" s="271">
        <f>G10</f>
        <v>4.6698113207547172</v>
      </c>
    </row>
    <row r="50" spans="2:17" s="260" customFormat="1" ht="17.25" customHeight="1">
      <c r="B50" s="489" t="s">
        <v>296</v>
      </c>
      <c r="C50" s="527"/>
      <c r="D50" s="527"/>
      <c r="E50" s="522"/>
      <c r="F50" s="531"/>
      <c r="G50" s="272">
        <f>G49-G46</f>
        <v>2.8878175555555554</v>
      </c>
      <c r="H50" s="532"/>
      <c r="I50" s="489" t="s">
        <v>10</v>
      </c>
      <c r="J50" s="523"/>
      <c r="K50" s="272">
        <f>K49-G46</f>
        <v>3.497628876310273</v>
      </c>
    </row>
    <row r="51" spans="2:17" s="260" customFormat="1" ht="17.25" customHeight="1">
      <c r="B51" s="489" t="s">
        <v>410</v>
      </c>
      <c r="C51" s="527"/>
      <c r="D51" s="527"/>
      <c r="E51" s="522"/>
      <c r="F51" s="529"/>
      <c r="G51" s="272">
        <f>G50*$D8</f>
        <v>649.75894999999991</v>
      </c>
      <c r="H51" s="532"/>
      <c r="I51" s="489" t="s">
        <v>410</v>
      </c>
      <c r="J51" s="523"/>
      <c r="K51" s="272">
        <f>K50*$D8</f>
        <v>786.96649716981142</v>
      </c>
    </row>
    <row r="52" spans="2:17" s="260" customFormat="1" ht="17.25" customHeight="1">
      <c r="B52" s="489" t="s">
        <v>411</v>
      </c>
      <c r="C52" s="527"/>
      <c r="D52" s="527"/>
      <c r="E52" s="522"/>
      <c r="F52" s="529"/>
      <c r="G52" s="272">
        <f>G51/($C73*(1/60))</f>
        <v>135.36644791666666</v>
      </c>
      <c r="H52" s="532"/>
      <c r="I52" s="489" t="s">
        <v>411</v>
      </c>
      <c r="J52" s="523"/>
      <c r="K52" s="272">
        <f>K51/($C73*(1/60))</f>
        <v>163.95135357704405</v>
      </c>
    </row>
    <row r="53" spans="2:17" s="260" customFormat="1" ht="17.25" customHeight="1">
      <c r="B53" s="489" t="s">
        <v>297</v>
      </c>
      <c r="C53" s="527"/>
      <c r="D53" s="527"/>
      <c r="E53" s="522"/>
      <c r="F53" s="529"/>
      <c r="G53" s="16">
        <f>G50/$G$46</f>
        <v>2.4636246424286243</v>
      </c>
      <c r="H53" s="533"/>
      <c r="I53" s="489" t="s">
        <v>11</v>
      </c>
      <c r="J53" s="523"/>
      <c r="K53" s="16">
        <f>K50/$G$46</f>
        <v>2.9838604842507888</v>
      </c>
    </row>
    <row r="54" spans="2:17" s="260" customFormat="1" ht="17.25" customHeight="1" thickBot="1">
      <c r="B54" s="489" t="s">
        <v>12</v>
      </c>
      <c r="C54" s="527"/>
      <c r="D54" s="527"/>
      <c r="E54" s="522"/>
      <c r="F54" s="529"/>
      <c r="G54" s="273">
        <f>G49/$G$46</f>
        <v>3.4636246424286243</v>
      </c>
      <c r="H54" s="530"/>
      <c r="I54" s="489" t="s">
        <v>12</v>
      </c>
      <c r="J54" s="523"/>
      <c r="K54" s="273">
        <f>K49/$G$46</f>
        <v>3.9838604842507883</v>
      </c>
    </row>
    <row r="55" spans="2:17" ht="14.4">
      <c r="B55" s="489" t="s">
        <v>13</v>
      </c>
      <c r="C55" s="527"/>
      <c r="D55" s="527"/>
      <c r="E55" s="534"/>
      <c r="F55" s="535"/>
      <c r="G55" s="17">
        <f>G46/G49</f>
        <v>0.28871488779419818</v>
      </c>
      <c r="H55" s="488"/>
      <c r="I55" s="489" t="s">
        <v>13</v>
      </c>
      <c r="J55" s="523"/>
      <c r="K55" s="17">
        <f>G46/K49</f>
        <v>0.25101280628507294</v>
      </c>
      <c r="L55" s="260"/>
      <c r="M55" s="260"/>
      <c r="N55" s="260"/>
      <c r="O55" s="260"/>
      <c r="P55" s="260"/>
      <c r="Q55" s="260"/>
    </row>
    <row r="56" spans="2:17" ht="15.05" thickBot="1">
      <c r="B56" s="489" t="s">
        <v>403</v>
      </c>
      <c r="C56" s="488"/>
      <c r="D56" s="488"/>
      <c r="E56" s="488"/>
      <c r="F56" s="536"/>
      <c r="G56" s="274">
        <f ca="1">'4. CHARGES FIXES'!J18/(1-G55)</f>
        <v>73050.390517344262</v>
      </c>
      <c r="H56" s="488"/>
      <c r="I56" s="489" t="s">
        <v>405</v>
      </c>
      <c r="J56" s="488"/>
      <c r="K56" s="274">
        <f ca="1">'4. CHARGES FIXES'!J18/(1-K55)</f>
        <v>69373.222468718581</v>
      </c>
      <c r="L56" s="260"/>
      <c r="M56" s="260"/>
      <c r="N56" s="260"/>
      <c r="O56" s="260"/>
      <c r="P56" s="260"/>
      <c r="Q56" s="260"/>
    </row>
    <row r="57" spans="2:17" ht="15.05" thickBot="1">
      <c r="B57" s="537" t="s">
        <v>404</v>
      </c>
      <c r="C57" s="488"/>
      <c r="D57" s="488"/>
      <c r="E57" s="488"/>
      <c r="F57" s="536"/>
      <c r="G57" s="275">
        <f ca="1">G56/G49</f>
        <v>17992.707023976422</v>
      </c>
      <c r="H57" s="488"/>
      <c r="I57" s="489" t="s">
        <v>406</v>
      </c>
      <c r="J57" s="488"/>
      <c r="K57" s="275">
        <f ca="1">K56/K49</f>
        <v>14855.679962998322</v>
      </c>
      <c r="L57" s="260"/>
      <c r="M57" s="260"/>
      <c r="N57" s="260"/>
      <c r="O57" s="260"/>
      <c r="P57" s="260"/>
      <c r="Q57" s="260"/>
    </row>
    <row r="58" spans="2:17" ht="15.05" thickBot="1">
      <c r="B58" s="488"/>
      <c r="C58" s="488"/>
      <c r="D58" s="488"/>
      <c r="E58" s="488"/>
      <c r="F58" s="536"/>
      <c r="G58" s="488"/>
      <c r="H58" s="488"/>
      <c r="I58" s="488"/>
      <c r="J58" s="488"/>
      <c r="K58" s="521"/>
      <c r="L58" s="260"/>
      <c r="M58" s="260"/>
      <c r="N58" s="260"/>
      <c r="O58" s="260"/>
      <c r="P58" s="260"/>
      <c r="Q58" s="260"/>
    </row>
    <row r="59" spans="2:17" ht="13.15">
      <c r="B59" s="907" t="s">
        <v>298</v>
      </c>
      <c r="C59" s="908"/>
      <c r="D59" s="908"/>
      <c r="E59" s="908"/>
      <c r="F59" s="908"/>
      <c r="G59" s="908"/>
      <c r="H59" s="908"/>
      <c r="I59" s="908"/>
      <c r="J59" s="909"/>
      <c r="K59" s="521"/>
      <c r="L59" s="260"/>
      <c r="M59" s="260"/>
      <c r="N59" s="260"/>
      <c r="O59" s="260"/>
      <c r="P59" s="260"/>
      <c r="Q59" s="260"/>
    </row>
    <row r="60" spans="2:17" ht="13.15">
      <c r="B60" s="538" t="s">
        <v>41</v>
      </c>
      <c r="C60" s="538" t="s">
        <v>299</v>
      </c>
      <c r="D60" s="538" t="s">
        <v>168</v>
      </c>
      <c r="E60" s="538" t="s">
        <v>301</v>
      </c>
      <c r="F60" s="538" t="s">
        <v>169</v>
      </c>
      <c r="G60" s="538" t="s">
        <v>172</v>
      </c>
      <c r="H60" s="538" t="s">
        <v>170</v>
      </c>
      <c r="I60" s="538" t="s">
        <v>174</v>
      </c>
      <c r="J60" s="538" t="s">
        <v>179</v>
      </c>
      <c r="K60" s="488"/>
    </row>
    <row r="61" spans="2:17" ht="13.15">
      <c r="B61" s="539" t="s">
        <v>46</v>
      </c>
      <c r="C61" s="540">
        <v>20</v>
      </c>
      <c r="D61" s="540">
        <v>0</v>
      </c>
      <c r="E61" s="276">
        <f>C61+D61</f>
        <v>20</v>
      </c>
      <c r="F61" s="540"/>
      <c r="G61" s="540"/>
      <c r="H61" s="276">
        <f t="shared" ref="H61:H62" si="4">G61*D61/60</f>
        <v>0</v>
      </c>
      <c r="I61" s="541"/>
      <c r="J61" s="277" cm="1">
        <f t="array" ref="J61">_xlfn.IFS(I61=Listes!$C$2,'1. DONNEES DE BASE'!$B$2*H61,'FT_PROD (3)'!I61=Listes!$C$3,'1. DONNEES DE BASE'!$B$3*'FT_PROD (3)'!H61,TRUE,0)</f>
        <v>0</v>
      </c>
      <c r="K61" s="488"/>
    </row>
    <row r="62" spans="2:17" ht="13.15">
      <c r="B62" s="539" t="s">
        <v>45</v>
      </c>
      <c r="C62" s="540">
        <v>120</v>
      </c>
      <c r="D62" s="540">
        <v>0</v>
      </c>
      <c r="E62" s="276">
        <f t="shared" ref="E62:E72" si="5">C62+D62</f>
        <v>120</v>
      </c>
      <c r="F62" s="540"/>
      <c r="G62" s="540"/>
      <c r="H62" s="276">
        <f t="shared" si="4"/>
        <v>0</v>
      </c>
      <c r="I62" s="541"/>
      <c r="J62" s="277" cm="1">
        <f t="array" ref="J62">_xlfn.IFS(I62=Listes!$C$2,'1. DONNEES DE BASE'!$B$2*H62,'FT_PROD (3)'!I62=Listes!$C$3,'1. DONNEES DE BASE'!$B$3*'FT_PROD (3)'!H62,TRUE,0)</f>
        <v>0</v>
      </c>
      <c r="K62" s="488"/>
    </row>
    <row r="63" spans="2:17" ht="13.15">
      <c r="B63" s="539" t="s">
        <v>42</v>
      </c>
      <c r="C63" s="540">
        <v>10</v>
      </c>
      <c r="D63" s="542">
        <v>120</v>
      </c>
      <c r="E63" s="276">
        <f t="shared" si="5"/>
        <v>130</v>
      </c>
      <c r="F63" s="540" t="s">
        <v>173</v>
      </c>
      <c r="G63" s="540">
        <v>3</v>
      </c>
      <c r="H63" s="276">
        <f>G63*D63/60</f>
        <v>6</v>
      </c>
      <c r="I63" s="541" t="s">
        <v>175</v>
      </c>
      <c r="J63" s="277" cm="1">
        <f t="array" ref="J63">_xlfn.IFS(I63=Listes!$C$2,'1. DONNEES DE BASE'!$B$2*H63,'FT_PROD (3)'!I63=Listes!$C$3,'1. DONNEES DE BASE'!$B$3*'FT_PROD (3)'!H63,TRUE,0)</f>
        <v>0.48180000000000001</v>
      </c>
      <c r="K63" s="488"/>
    </row>
    <row r="64" spans="2:17" ht="13.15">
      <c r="B64" s="539" t="s">
        <v>43</v>
      </c>
      <c r="C64" s="540">
        <v>3</v>
      </c>
      <c r="D64" s="540">
        <v>0</v>
      </c>
      <c r="E64" s="276">
        <f t="shared" si="5"/>
        <v>3</v>
      </c>
      <c r="F64" s="540"/>
      <c r="G64" s="540"/>
      <c r="H64" s="276">
        <f t="shared" ref="H64:H72" si="6">G64*D64/60</f>
        <v>0</v>
      </c>
      <c r="I64" s="541"/>
      <c r="J64" s="277" cm="1">
        <f t="array" ref="J64">_xlfn.IFS(I64=Listes!$C$2,'1. DONNEES DE BASE'!$B$2*H64,'FT_PROD (3)'!I64=Listes!$C$3,'1. DONNEES DE BASE'!$B$3*'FT_PROD (3)'!H64,TRUE,0)</f>
        <v>0</v>
      </c>
      <c r="K64" s="488"/>
    </row>
    <row r="65" spans="2:11" ht="13.15">
      <c r="B65" s="539" t="s">
        <v>44</v>
      </c>
      <c r="C65" s="540">
        <v>15</v>
      </c>
      <c r="D65" s="542">
        <v>120</v>
      </c>
      <c r="E65" s="276">
        <f t="shared" si="5"/>
        <v>135</v>
      </c>
      <c r="F65" s="540"/>
      <c r="G65" s="540">
        <v>2</v>
      </c>
      <c r="H65" s="276">
        <f t="shared" si="6"/>
        <v>4</v>
      </c>
      <c r="I65" s="541" t="s">
        <v>176</v>
      </c>
      <c r="J65" s="277" cm="1">
        <f t="array" ref="J65">_xlfn.IFS(I65=Listes!$C$2,'1. DONNEES DE BASE'!$B$2*H65,'FT_PROD (3)'!I65=Listes!$C$3,'1. DONNEES DE BASE'!$B$3*'FT_PROD (3)'!H65,TRUE,0)</f>
        <v>0.8</v>
      </c>
      <c r="K65" s="488"/>
    </row>
    <row r="66" spans="2:11" ht="13.15">
      <c r="B66" s="539" t="s">
        <v>27</v>
      </c>
      <c r="C66" s="540">
        <v>120</v>
      </c>
      <c r="D66" s="540">
        <v>0</v>
      </c>
      <c r="E66" s="276">
        <f t="shared" si="5"/>
        <v>120</v>
      </c>
      <c r="F66" s="540"/>
      <c r="G66" s="540"/>
      <c r="H66" s="276">
        <f t="shared" si="6"/>
        <v>0</v>
      </c>
      <c r="I66" s="541"/>
      <c r="J66" s="277" cm="1">
        <f t="array" ref="J66">_xlfn.IFS(I66=Listes!$C$2,'1. DONNEES DE BASE'!$B$2*H66,'FT_PROD (3)'!I66=Listes!$C$3,'1. DONNEES DE BASE'!$B$3*'FT_PROD (3)'!H66,TRUE,0)</f>
        <v>0</v>
      </c>
      <c r="K66" s="488"/>
    </row>
    <row r="67" spans="2:11" ht="13.15">
      <c r="B67" s="543" t="s">
        <v>167</v>
      </c>
      <c r="C67" s="540">
        <v>0</v>
      </c>
      <c r="D67" s="540">
        <v>0</v>
      </c>
      <c r="E67" s="276">
        <f t="shared" si="5"/>
        <v>0</v>
      </c>
      <c r="F67" s="540"/>
      <c r="G67" s="540"/>
      <c r="H67" s="276">
        <f t="shared" si="6"/>
        <v>0</v>
      </c>
      <c r="I67" s="541"/>
      <c r="J67" s="277" cm="1">
        <f t="array" ref="J67">_xlfn.IFS(I67=Listes!$C$2,'1. DONNEES DE BASE'!$B$2*H67,'FT_PROD (3)'!I67=Listes!$C$3,'1. DONNEES DE BASE'!$B$3*'FT_PROD (3)'!H67,TRUE,0)</f>
        <v>0</v>
      </c>
      <c r="K67" s="488"/>
    </row>
    <row r="68" spans="2:11" ht="13.15">
      <c r="B68" s="543" t="s">
        <v>48</v>
      </c>
      <c r="C68" s="540">
        <v>0</v>
      </c>
      <c r="D68" s="540">
        <v>15</v>
      </c>
      <c r="E68" s="276">
        <f t="shared" si="5"/>
        <v>15</v>
      </c>
      <c r="F68" s="540" t="s">
        <v>171</v>
      </c>
      <c r="G68" s="540">
        <v>3.55</v>
      </c>
      <c r="H68" s="276">
        <f t="shared" si="6"/>
        <v>0.88749999999999996</v>
      </c>
      <c r="I68" s="541" t="s">
        <v>176</v>
      </c>
      <c r="J68" s="277" cm="1">
        <f t="array" ref="J68">_xlfn.IFS(I68=Listes!$C$2,'1. DONNEES DE BASE'!$B$2*H68,'FT_PROD (3)'!I68=Listes!$C$3,'1. DONNEES DE BASE'!$B$3*'FT_PROD (3)'!H68,TRUE,0)</f>
        <v>0.17749999999999999</v>
      </c>
      <c r="K68" s="488"/>
    </row>
    <row r="69" spans="2:11" ht="13.15">
      <c r="B69" s="543" t="s">
        <v>302</v>
      </c>
      <c r="C69" s="540">
        <v>0</v>
      </c>
      <c r="D69" s="540">
        <v>0</v>
      </c>
      <c r="E69" s="276">
        <f t="shared" si="5"/>
        <v>0</v>
      </c>
      <c r="F69" s="540"/>
      <c r="G69" s="540"/>
      <c r="H69" s="276">
        <f t="shared" si="6"/>
        <v>0</v>
      </c>
      <c r="I69" s="541"/>
      <c r="J69" s="277" cm="1">
        <f t="array" ref="J69">_xlfn.IFS(I69=Listes!$C$2,'1. DONNEES DE BASE'!$B$2*H69,'FT_PROD (3)'!I69=Listes!$C$3,'1. DONNEES DE BASE'!$B$3*'FT_PROD (3)'!H69,TRUE,0)</f>
        <v>0</v>
      </c>
      <c r="K69" s="488"/>
    </row>
    <row r="70" spans="2:11" ht="13.15">
      <c r="B70" s="543" t="s">
        <v>303</v>
      </c>
      <c r="C70" s="540">
        <v>0</v>
      </c>
      <c r="D70" s="540">
        <v>0</v>
      </c>
      <c r="E70" s="276">
        <f t="shared" si="5"/>
        <v>0</v>
      </c>
      <c r="F70" s="540"/>
      <c r="G70" s="540"/>
      <c r="H70" s="276">
        <f t="shared" si="6"/>
        <v>0</v>
      </c>
      <c r="I70" s="541"/>
      <c r="J70" s="277" cm="1">
        <f t="array" ref="J70">_xlfn.IFS(I70=Listes!$C$2,'1. DONNEES DE BASE'!$B$2*H70,'FT_PROD (3)'!I70=Listes!$C$3,'1. DONNEES DE BASE'!$B$3*'FT_PROD (3)'!H70,TRUE,0)</f>
        <v>0</v>
      </c>
      <c r="K70" s="488"/>
    </row>
    <row r="71" spans="2:11" ht="13.15">
      <c r="B71" s="543" t="s">
        <v>304</v>
      </c>
      <c r="C71" s="540">
        <v>0</v>
      </c>
      <c r="D71" s="540">
        <v>0</v>
      </c>
      <c r="E71" s="276">
        <f t="shared" si="5"/>
        <v>0</v>
      </c>
      <c r="F71" s="540"/>
      <c r="G71" s="540"/>
      <c r="H71" s="276">
        <f t="shared" si="6"/>
        <v>0</v>
      </c>
      <c r="I71" s="541"/>
      <c r="J71" s="277" cm="1">
        <f t="array" ref="J71">_xlfn.IFS(I71=Listes!$C$2,'1. DONNEES DE BASE'!$B$2*H71,'FT_PROD (3)'!I71=Listes!$C$3,'1. DONNEES DE BASE'!$B$3*'FT_PROD (3)'!H71,TRUE,0)</f>
        <v>0</v>
      </c>
      <c r="K71" s="488"/>
    </row>
    <row r="72" spans="2:11" ht="13.15">
      <c r="B72" s="543" t="s">
        <v>305</v>
      </c>
      <c r="C72" s="540">
        <v>0</v>
      </c>
      <c r="D72" s="540">
        <v>0</v>
      </c>
      <c r="E72" s="276">
        <f t="shared" si="5"/>
        <v>0</v>
      </c>
      <c r="F72" s="540"/>
      <c r="G72" s="540"/>
      <c r="H72" s="276">
        <f t="shared" si="6"/>
        <v>0</v>
      </c>
      <c r="I72" s="541"/>
      <c r="J72" s="277" cm="1">
        <f t="array" ref="J72">_xlfn.IFS(I72=Listes!$C$2,'1. DONNEES DE BASE'!$B$2*H72,'FT_PROD (3)'!I72=Listes!$C$3,'1. DONNEES DE BASE'!$B$3*'FT_PROD (3)'!H72,TRUE,0)</f>
        <v>0</v>
      </c>
      <c r="K72" s="488"/>
    </row>
    <row r="73" spans="2:11" ht="13.8" thickBot="1">
      <c r="B73" s="278" t="s">
        <v>47</v>
      </c>
      <c r="C73" s="279">
        <f>SUM(C61:C72)</f>
        <v>288</v>
      </c>
      <c r="D73" s="279">
        <f>SUM(D61:D72)</f>
        <v>255</v>
      </c>
      <c r="E73" s="279">
        <f>SUM(E61:E72)</f>
        <v>543</v>
      </c>
      <c r="F73" s="279"/>
      <c r="G73" s="279"/>
      <c r="H73" s="279">
        <f>SUM(H61:H72)</f>
        <v>10.887499999999999</v>
      </c>
      <c r="I73" s="279"/>
      <c r="J73" s="18">
        <f>SUMIF(J61:J72,"&lt;&gt;#N/A")</f>
        <v>1.4593</v>
      </c>
      <c r="K73" s="488"/>
    </row>
    <row r="74" spans="2:11">
      <c r="B74" s="488"/>
      <c r="C74" s="488"/>
      <c r="D74" s="488"/>
      <c r="E74" s="488"/>
      <c r="F74" s="488"/>
      <c r="G74" s="488"/>
      <c r="H74" s="488"/>
      <c r="I74" s="488"/>
      <c r="J74" s="488"/>
      <c r="K74" s="488"/>
    </row>
    <row r="75" spans="2:11">
      <c r="B75" s="488"/>
      <c r="C75" s="488"/>
      <c r="D75" s="488"/>
      <c r="E75" s="488"/>
      <c r="F75" s="488"/>
      <c r="G75" s="488"/>
      <c r="H75" s="488"/>
      <c r="I75" s="488"/>
      <c r="J75" s="488"/>
      <c r="K75" s="488"/>
    </row>
    <row r="76" spans="2:11">
      <c r="B76" s="544" t="s">
        <v>531</v>
      </c>
      <c r="C76" s="544"/>
      <c r="D76" s="488"/>
      <c r="E76" s="488"/>
      <c r="F76" s="488"/>
      <c r="G76" s="488"/>
      <c r="H76" s="488"/>
      <c r="I76" s="488"/>
      <c r="J76" s="488"/>
      <c r="K76" s="488"/>
    </row>
    <row r="77" spans="2:11" ht="13.15">
      <c r="B77" s="545" t="s">
        <v>532</v>
      </c>
      <c r="C77" s="280">
        <f>SUMIFS(G17:G32,C17:C32,"Auto")</f>
        <v>175</v>
      </c>
      <c r="D77" s="488"/>
      <c r="E77" s="488"/>
      <c r="F77" s="488"/>
      <c r="G77" s="488"/>
      <c r="H77" s="488"/>
      <c r="I77" s="488"/>
      <c r="J77" s="488"/>
      <c r="K77" s="488"/>
    </row>
    <row r="78" spans="2:11" ht="13.15">
      <c r="B78" s="545" t="s">
        <v>533</v>
      </c>
      <c r="C78" s="281">
        <f>C77/D8</f>
        <v>0.77777777777777779</v>
      </c>
      <c r="D78" s="488"/>
      <c r="E78" s="488"/>
      <c r="F78" s="488"/>
      <c r="G78" s="488"/>
      <c r="H78" s="488"/>
      <c r="I78" s="488"/>
      <c r="J78" s="488"/>
      <c r="K78" s="488"/>
    </row>
  </sheetData>
  <sheetProtection algorithmName="SHA-512" hashValue="f1KMi4e3EdSvIPKg7ajfGSSahUUQCIHIM/I8Zbxmcb2Wy7QPLv9lQ6Npl5y1m7eGLfFRX7l5mNv0viXBZbR1RA==" saltValue="Z9bTJVAK9wrJkHoXXdor4g==" spinCount="100000" sheet="1" objects="1" scenarios="1" sort="0" autoFilter="0"/>
  <protectedRanges>
    <protectedRange sqref="I61:I72" name="TYpe energie"/>
    <protectedRange sqref="C2:C3 D5:D6 D8 D10:D11 G11:G12" name="Données de base"/>
    <protectedRange sqref="I17:K32 I34:K42 B34:F42 B17:F32" name="Ingred et consommables"/>
    <protectedRange sqref="B61:D72 F61:G72" name="Energie et travail"/>
  </protectedRanges>
  <mergeCells count="17">
    <mergeCell ref="B33:F3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I16:K16"/>
    <mergeCell ref="B43:F43"/>
    <mergeCell ref="B44:F44"/>
    <mergeCell ref="B48:G48"/>
    <mergeCell ref="I48:K48"/>
    <mergeCell ref="B59:J59"/>
  </mergeCells>
  <dataValidations count="2">
    <dataValidation type="list" allowBlank="1" showInputMessage="1" showErrorMessage="1" errorTitle="Ingrédient invalide" error="Veuillez sélectionner un ingrédient dans la liste." sqref="B17:B32" xr:uid="{6DFBD26C-F74E-4269-B63D-F9CB60FA72B1}">
      <formula1>ListeIngredients</formula1>
    </dataValidation>
    <dataValidation type="list" allowBlank="1" showInputMessage="1" showErrorMessage="1" errorTitle="Consommable invalide" error="Veuillez sélectionner un consommable dans la liste." sqref="B34:B42" xr:uid="{1A11D486-257B-474B-B290-E0BE3B22411A}">
      <formula1>ListeConsommables</formula1>
    </dataValidation>
  </dataValidations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5F0241-9AA1-4596-A7CD-10C92FEA0483}">
          <x14:formula1>
            <xm:f>Listes!$C$2:$C$5</xm:f>
          </x14:formula1>
          <xm:sqref>I61:I63 I65:I72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61065-CAB2-46CA-861C-CB4E05A00CC1}">
  <dimension ref="A1:C3"/>
  <sheetViews>
    <sheetView workbookViewId="0">
      <selection activeCell="B2" sqref="B2"/>
    </sheetView>
  </sheetViews>
  <sheetFormatPr baseColWidth="10" defaultRowHeight="15.05"/>
  <cols>
    <col min="1" max="1" width="20.6640625" customWidth="1"/>
  </cols>
  <sheetData>
    <row r="1" spans="1:3">
      <c r="A1" s="295" t="s">
        <v>80</v>
      </c>
      <c r="B1" s="296">
        <v>2026</v>
      </c>
      <c r="C1" s="297"/>
    </row>
    <row r="2" spans="1:3">
      <c r="A2" s="297" t="s">
        <v>177</v>
      </c>
      <c r="B2" s="298">
        <v>8.0299999999999996E-2</v>
      </c>
      <c r="C2" s="297" t="s">
        <v>276</v>
      </c>
    </row>
    <row r="3" spans="1:3">
      <c r="A3" s="297" t="s">
        <v>178</v>
      </c>
      <c r="B3" s="298">
        <v>0.2</v>
      </c>
      <c r="C3" s="297"/>
    </row>
  </sheetData>
  <sheetProtection algorithmName="SHA-512" hashValue="IJ8nJuGptAwjSMzUmDn7GV6WvB+ObZEsqXZHmFWdw7GYim4wt7cyELldmsnjHlkKTIcohkb/RrvcnYM1+4QWKg==" saltValue="YTlXnbsdGijMeGSG9UzI4g==" spinCount="100000" sheet="1" objects="1" scenarios="1" sort="0" autoFilter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17A30-990F-48BC-BC3B-29DDD309DDEB}">
  <sheetPr>
    <pageSetUpPr fitToPage="1"/>
  </sheetPr>
  <dimension ref="B1:Q78"/>
  <sheetViews>
    <sheetView showGridLines="0" zoomScale="85" zoomScaleNormal="85" workbookViewId="0">
      <selection activeCell="C4" sqref="C4"/>
    </sheetView>
  </sheetViews>
  <sheetFormatPr baseColWidth="10" defaultColWidth="11.44140625" defaultRowHeight="12.55"/>
  <cols>
    <col min="1" max="1" width="1.44140625" style="251" customWidth="1"/>
    <col min="2" max="2" width="23.109375" style="251" customWidth="1"/>
    <col min="3" max="3" width="20" style="251" customWidth="1"/>
    <col min="4" max="4" width="19" style="251" customWidth="1"/>
    <col min="5" max="5" width="13.6640625" style="251" bestFit="1" customWidth="1"/>
    <col min="6" max="6" width="23.21875" style="251" customWidth="1"/>
    <col min="7" max="7" width="14.5546875" style="251" customWidth="1"/>
    <col min="8" max="8" width="14.109375" style="251" customWidth="1"/>
    <col min="9" max="9" width="17.33203125" style="251" customWidth="1"/>
    <col min="10" max="10" width="16.6640625" style="251" customWidth="1"/>
    <col min="11" max="11" width="12.109375" style="251" customWidth="1"/>
    <col min="12" max="16384" width="11.44140625" style="251"/>
  </cols>
  <sheetData>
    <row r="1" spans="2:11" ht="47.3" customHeight="1">
      <c r="B1" s="485" t="s">
        <v>37</v>
      </c>
      <c r="C1" s="486"/>
      <c r="D1" s="486"/>
      <c r="E1" s="486"/>
      <c r="F1" s="486"/>
      <c r="G1" s="486"/>
      <c r="H1" s="486"/>
      <c r="I1" s="486"/>
      <c r="J1" s="487"/>
      <c r="K1" s="488"/>
    </row>
    <row r="2" spans="2:11" ht="16.3" customHeight="1">
      <c r="B2" s="489" t="s">
        <v>39</v>
      </c>
      <c r="C2" s="490" t="s">
        <v>407</v>
      </c>
      <c r="D2" s="491"/>
      <c r="E2" s="492"/>
      <c r="F2" s="486"/>
      <c r="G2" s="486"/>
      <c r="H2" s="486"/>
      <c r="I2" s="486"/>
      <c r="J2" s="488"/>
      <c r="K2" s="488"/>
    </row>
    <row r="3" spans="2:11" ht="18.8" customHeight="1">
      <c r="B3" s="489" t="s">
        <v>23</v>
      </c>
      <c r="C3" s="490" t="s">
        <v>561</v>
      </c>
      <c r="D3" s="491"/>
      <c r="E3" s="492"/>
      <c r="F3" s="486"/>
      <c r="G3" s="486"/>
      <c r="H3" s="486"/>
      <c r="I3" s="486"/>
      <c r="J3" s="488"/>
      <c r="K3" s="488"/>
    </row>
    <row r="4" spans="2:11" ht="18.8" customHeight="1">
      <c r="B4" s="493"/>
      <c r="C4" s="486"/>
      <c r="D4" s="486"/>
      <c r="E4" s="488"/>
      <c r="F4" s="486"/>
      <c r="G4" s="486"/>
      <c r="H4" s="905" t="s">
        <v>306</v>
      </c>
      <c r="I4" s="905"/>
      <c r="J4" s="905"/>
      <c r="K4" s="488"/>
    </row>
    <row r="5" spans="2:11" ht="19.899999999999999" customHeight="1">
      <c r="B5" s="489" t="s">
        <v>284</v>
      </c>
      <c r="C5" s="494"/>
      <c r="D5" s="495">
        <v>50</v>
      </c>
      <c r="E5" s="496"/>
      <c r="F5" s="497"/>
      <c r="G5" s="498"/>
      <c r="H5" s="906" t="s">
        <v>285</v>
      </c>
      <c r="I5" s="896"/>
      <c r="J5" s="896"/>
      <c r="K5" s="488"/>
    </row>
    <row r="6" spans="2:11" ht="19.899999999999999" customHeight="1">
      <c r="B6" s="489" t="s">
        <v>286</v>
      </c>
      <c r="C6" s="494"/>
      <c r="D6" s="499">
        <v>0.2</v>
      </c>
      <c r="E6" s="496"/>
      <c r="F6" s="497"/>
      <c r="G6" s="498"/>
      <c r="H6" s="896"/>
      <c r="I6" s="896"/>
      <c r="J6" s="896"/>
      <c r="K6" s="488"/>
    </row>
    <row r="7" spans="2:11" ht="19.899999999999999" customHeight="1">
      <c r="B7" s="489" t="s">
        <v>35</v>
      </c>
      <c r="C7" s="494"/>
      <c r="D7" s="252">
        <f>D5/D6</f>
        <v>250</v>
      </c>
      <c r="E7" s="496"/>
      <c r="F7" s="497"/>
      <c r="G7" s="498"/>
      <c r="H7" s="896"/>
      <c r="I7" s="896"/>
      <c r="J7" s="896"/>
      <c r="K7" s="488"/>
    </row>
    <row r="8" spans="2:11" ht="19.899999999999999" customHeight="1">
      <c r="B8" s="489" t="s">
        <v>36</v>
      </c>
      <c r="C8" s="494"/>
      <c r="D8" s="499">
        <v>225</v>
      </c>
      <c r="E8" s="496"/>
      <c r="F8" s="497"/>
      <c r="G8" s="498"/>
      <c r="H8" s="896" t="s">
        <v>287</v>
      </c>
      <c r="I8" s="896"/>
      <c r="J8" s="896"/>
      <c r="K8" s="488"/>
    </row>
    <row r="9" spans="2:11" ht="19.899999999999999" customHeight="1">
      <c r="B9" s="489" t="s">
        <v>34</v>
      </c>
      <c r="C9" s="494"/>
      <c r="D9" s="10">
        <f>1-(D8/D7)</f>
        <v>9.9999999999999978E-2</v>
      </c>
      <c r="E9" s="496"/>
      <c r="F9" s="497"/>
      <c r="G9" s="498"/>
      <c r="H9" s="896" t="s">
        <v>288</v>
      </c>
      <c r="I9" s="896"/>
      <c r="J9" s="896"/>
      <c r="K9" s="488"/>
    </row>
    <row r="10" spans="2:11" ht="19.899999999999999" customHeight="1">
      <c r="B10" s="489" t="s">
        <v>25</v>
      </c>
      <c r="C10" s="494"/>
      <c r="D10" s="500">
        <v>4.0599999999999996</v>
      </c>
      <c r="E10" s="489" t="s">
        <v>32</v>
      </c>
      <c r="F10" s="501"/>
      <c r="G10" s="253">
        <f>G12/(1+G11)</f>
        <v>4.6698113207547172</v>
      </c>
      <c r="H10" s="896"/>
      <c r="I10" s="896"/>
      <c r="J10" s="896"/>
      <c r="K10" s="488"/>
    </row>
    <row r="11" spans="2:11" ht="19.899999999999999" customHeight="1">
      <c r="B11" s="489" t="s">
        <v>3</v>
      </c>
      <c r="C11" s="494"/>
      <c r="D11" s="502">
        <v>0.06</v>
      </c>
      <c r="E11" s="489" t="s">
        <v>3</v>
      </c>
      <c r="F11" s="501"/>
      <c r="G11" s="503">
        <v>0.06</v>
      </c>
      <c r="H11" s="896"/>
      <c r="I11" s="896"/>
      <c r="J11" s="896"/>
      <c r="K11" s="488"/>
    </row>
    <row r="12" spans="2:11" ht="19.899999999999999" customHeight="1">
      <c r="B12" s="489" t="s">
        <v>33</v>
      </c>
      <c r="C12" s="494"/>
      <c r="D12" s="254">
        <f>D10*(1+D11)</f>
        <v>4.3035999999999994</v>
      </c>
      <c r="E12" s="489" t="s">
        <v>24</v>
      </c>
      <c r="F12" s="501"/>
      <c r="G12" s="504">
        <v>4.95</v>
      </c>
      <c r="H12" s="896"/>
      <c r="I12" s="896"/>
      <c r="J12" s="896"/>
      <c r="K12" s="488"/>
    </row>
    <row r="13" spans="2:11" ht="19.899999999999999" customHeight="1">
      <c r="B13" s="489" t="s">
        <v>289</v>
      </c>
      <c r="C13" s="494"/>
      <c r="D13" s="10">
        <f>G10/D10-1</f>
        <v>0.15019983269820636</v>
      </c>
      <c r="E13" s="505"/>
      <c r="F13" s="505"/>
      <c r="G13" s="505"/>
      <c r="H13" s="896" t="s">
        <v>290</v>
      </c>
      <c r="I13" s="896"/>
      <c r="J13" s="896"/>
      <c r="K13" s="488"/>
    </row>
    <row r="14" spans="2:11" ht="18.8" customHeight="1">
      <c r="B14" s="505"/>
      <c r="C14" s="505"/>
      <c r="D14" s="505"/>
      <c r="E14" s="505"/>
      <c r="F14" s="505"/>
      <c r="G14" s="505"/>
      <c r="H14" s="505"/>
      <c r="I14" s="505"/>
      <c r="J14" s="488"/>
      <c r="K14" s="488"/>
    </row>
    <row r="15" spans="2:11" ht="6.75" customHeight="1" thickBot="1">
      <c r="B15" s="488"/>
      <c r="C15" s="488"/>
      <c r="D15" s="488"/>
      <c r="E15" s="488"/>
      <c r="F15" s="488"/>
      <c r="G15" s="488"/>
      <c r="H15" s="488"/>
      <c r="I15" s="488"/>
      <c r="J15" s="488"/>
      <c r="K15" s="488"/>
    </row>
    <row r="16" spans="2:11" s="255" customFormat="1" ht="45.1" customHeight="1">
      <c r="B16" s="506" t="s">
        <v>4</v>
      </c>
      <c r="C16" s="507" t="s">
        <v>5</v>
      </c>
      <c r="D16" s="508" t="s">
        <v>6</v>
      </c>
      <c r="E16" s="508" t="s">
        <v>7</v>
      </c>
      <c r="F16" s="508" t="s">
        <v>8</v>
      </c>
      <c r="G16" s="508" t="s">
        <v>300</v>
      </c>
      <c r="H16" s="509" t="s">
        <v>30</v>
      </c>
      <c r="I16" s="899" t="s">
        <v>22</v>
      </c>
      <c r="J16" s="899"/>
      <c r="K16" s="900"/>
    </row>
    <row r="17" spans="2:11" s="260" customFormat="1" ht="17.25" customHeight="1">
      <c r="B17" s="477" t="s">
        <v>14</v>
      </c>
      <c r="C17" s="256" t="str">
        <f>IF(ISBLANK(B17),"",_xlfn.XLOOKUP(B17,tblIngredients[Article],tblIngredients[Fournisseur],""))</f>
        <v>Auto</v>
      </c>
      <c r="D17" s="257" t="str">
        <f>IF(ISBLANK(B17),"",_xlfn.XLOOKUP(B17,tblIngredients[Article],tblIngredients[Unité conditionnement],""))</f>
        <v>1 kg</v>
      </c>
      <c r="E17" s="258">
        <f>IF(ISBLANK(B17),"",_xlfn.XLOOKUP(B17,tblIngredients[Article],tblIngredients[Coût d''achat HTVA  à l''unité],""))</f>
        <v>3.5</v>
      </c>
      <c r="F17" s="510">
        <v>50</v>
      </c>
      <c r="G17" s="259">
        <f>IF(OR(F17="",ISBLANK(F17)),"",E17*F17)</f>
        <v>175</v>
      </c>
      <c r="H17" s="11">
        <f>IF(OR(G17="",ISBLANK(G17)),"",G17/G$33)</f>
        <v>0.92115565556674106</v>
      </c>
      <c r="I17" s="511" t="s">
        <v>291</v>
      </c>
      <c r="J17" s="512"/>
      <c r="K17" s="513"/>
    </row>
    <row r="18" spans="2:11" s="260" customFormat="1" ht="17.25" customHeight="1">
      <c r="B18" s="477" t="s">
        <v>15</v>
      </c>
      <c r="C18" s="256" t="str">
        <f>IF(ISBLANK(B18),"",_xlfn.XLOOKUP(B18,tblIngredients[Article],tblIngredients[Fournisseur],""))</f>
        <v>Inbterbio</v>
      </c>
      <c r="D18" s="257" t="str">
        <f>IF(ISBLANK(B18),"",_xlfn.XLOOKUP(B18,tblIngredients[Article],tblIngredients[Unité conditionnement],""))</f>
        <v>1 kg</v>
      </c>
      <c r="E18" s="258">
        <f>IF(ISBLANK(B18),"",_xlfn.XLOOKUP(B18,tblIngredients[Article],tblIngredients[Coût d''achat HTVA  à l''unité],""))</f>
        <v>6</v>
      </c>
      <c r="F18" s="510">
        <v>0.5</v>
      </c>
      <c r="G18" s="259">
        <f t="shared" ref="G18:G32" si="0">IF(OR(F18="",ISBLANK(F18)),"",E18*F18)</f>
        <v>3</v>
      </c>
      <c r="H18" s="11">
        <f t="shared" ref="H18:H32" si="1">IF(OR(G18="",ISBLANK(G18)),"",G18/G$33)</f>
        <v>1.5791239809715561E-2</v>
      </c>
      <c r="I18" s="514"/>
      <c r="J18" s="512"/>
      <c r="K18" s="513"/>
    </row>
    <row r="19" spans="2:11" s="260" customFormat="1" ht="17.25" customHeight="1">
      <c r="B19" s="477" t="s">
        <v>16</v>
      </c>
      <c r="C19" s="256" t="str">
        <f>IF(ISBLANK(B19),"",_xlfn.XLOOKUP(B19,tblIngredients[Article],tblIngredients[Fournisseur],""))</f>
        <v>Interbio</v>
      </c>
      <c r="D19" s="257" t="str">
        <f>IF(ISBLANK(B19),"",_xlfn.XLOOKUP(B19,tblIngredients[Article],tblIngredients[Unité conditionnement],""))</f>
        <v>1 Botte</v>
      </c>
      <c r="E19" s="258">
        <f>IF(ISBLANK(B19),"",_xlfn.XLOOKUP(B19,tblIngredients[Article],tblIngredients[Coût d''achat HTVA  à l''unité],""))</f>
        <v>1.89</v>
      </c>
      <c r="F19" s="510">
        <v>4</v>
      </c>
      <c r="G19" s="259">
        <f t="shared" si="0"/>
        <v>7.56</v>
      </c>
      <c r="H19" s="11">
        <f t="shared" si="1"/>
        <v>3.9793924320483211E-2</v>
      </c>
      <c r="I19" s="514"/>
      <c r="J19" s="512"/>
      <c r="K19" s="513"/>
    </row>
    <row r="20" spans="2:11" s="260" customFormat="1" ht="17.25" customHeight="1">
      <c r="B20" s="477" t="s">
        <v>17</v>
      </c>
      <c r="C20" s="256" t="str">
        <f>IF(ISBLANK(B20),"",_xlfn.XLOOKUP(B20,tblIngredients[Article],tblIngredients[Fournisseur],""))</f>
        <v>Solucious</v>
      </c>
      <c r="D20" s="257" t="str">
        <f>IF(ISBLANK(B20),"",_xlfn.XLOOKUP(B20,tblIngredients[Article],tblIngredients[Unité conditionnement],""))</f>
        <v>1 L</v>
      </c>
      <c r="E20" s="258">
        <f>IF(ISBLANK(B20),"",_xlfn.XLOOKUP(B20,tblIngredients[Article],tblIngredients[Coût d''achat HTVA  à l''unité],""))</f>
        <v>17.649999999999999</v>
      </c>
      <c r="F20" s="510">
        <v>0.25</v>
      </c>
      <c r="G20" s="259">
        <f t="shared" si="0"/>
        <v>4.4124999999999996</v>
      </c>
      <c r="H20" s="11">
        <f t="shared" si="1"/>
        <v>2.3226281886789969E-2</v>
      </c>
      <c r="I20" s="514"/>
      <c r="J20" s="512"/>
      <c r="K20" s="513"/>
    </row>
    <row r="21" spans="2:11" s="260" customFormat="1" ht="17.25" customHeight="1">
      <c r="B21" s="477" t="s">
        <v>391</v>
      </c>
      <c r="C21" s="256" t="str">
        <f>IF(ISBLANK(B21),"",_xlfn.XLOOKUP(B21,tblIngredients[Article],tblIngredients[Fournisseur],""))</f>
        <v>Solucious</v>
      </c>
      <c r="D21" s="257" t="str">
        <f>IF(ISBLANK(B21),"",_xlfn.XLOOKUP(B21,tblIngredients[Article],tblIngredients[Unité conditionnement],""))</f>
        <v>1 Kg</v>
      </c>
      <c r="E21" s="258">
        <f>IF(ISBLANK(B21),"",_xlfn.XLOOKUP(B21,tblIngredients[Article],tblIngredients[Coût d''achat HTVA  à l''unité],""))</f>
        <v>6.25</v>
      </c>
      <c r="F21" s="510">
        <v>1E-3</v>
      </c>
      <c r="G21" s="259">
        <f t="shared" si="0"/>
        <v>6.2500000000000003E-3</v>
      </c>
      <c r="H21" s="11">
        <f t="shared" si="1"/>
        <v>3.2898416270240753E-5</v>
      </c>
      <c r="I21" s="514"/>
      <c r="J21" s="512"/>
      <c r="K21" s="513"/>
    </row>
    <row r="22" spans="2:11" s="260" customFormat="1" ht="17.25" customHeight="1">
      <c r="B22" s="477"/>
      <c r="C22" s="256" t="str">
        <f>IF(ISBLANK(B22),"",_xlfn.XLOOKUP(B22,tblIngredients[Article],tblIngredients[Fournisseur],""))</f>
        <v/>
      </c>
      <c r="D22" s="257" t="str">
        <f>IF(ISBLANK(B22),"",_xlfn.XLOOKUP(B22,tblIngredients[Article],tblIngredients[Unité conditionnement],""))</f>
        <v/>
      </c>
      <c r="E22" s="258" t="str">
        <f>IF(ISBLANK(B22),"",_xlfn.XLOOKUP(B22,tblIngredients[Article],tblIngredients[Coût d''achat HTVA  à l''unité],""))</f>
        <v/>
      </c>
      <c r="F22" s="510"/>
      <c r="G22" s="259" t="str">
        <f t="shared" si="0"/>
        <v/>
      </c>
      <c r="H22" s="11" t="str">
        <f t="shared" si="1"/>
        <v/>
      </c>
      <c r="I22" s="514"/>
      <c r="J22" s="512"/>
      <c r="K22" s="513"/>
    </row>
    <row r="23" spans="2:11" s="260" customFormat="1" ht="17.25" customHeight="1">
      <c r="B23" s="477"/>
      <c r="C23" s="256" t="str">
        <f>IF(ISBLANK(B23),"",_xlfn.XLOOKUP(B23,tblIngredients[Article],tblIngredients[Fournisseur],""))</f>
        <v/>
      </c>
      <c r="D23" s="257" t="str">
        <f>IF(ISBLANK(B23),"",_xlfn.XLOOKUP(B23,tblIngredients[Article],tblIngredients[Unité conditionnement],""))</f>
        <v/>
      </c>
      <c r="E23" s="258" t="str">
        <f>IF(ISBLANK(B23),"",_xlfn.XLOOKUP(B23,tblIngredients[Article],tblIngredients[Coût d''achat HTVA  à l''unité],""))</f>
        <v/>
      </c>
      <c r="F23" s="510"/>
      <c r="G23" s="259" t="str">
        <f t="shared" si="0"/>
        <v/>
      </c>
      <c r="H23" s="11" t="str">
        <f t="shared" si="1"/>
        <v/>
      </c>
      <c r="I23" s="514"/>
      <c r="J23" s="512"/>
      <c r="K23" s="513"/>
    </row>
    <row r="24" spans="2:11" s="260" customFormat="1" ht="17.25" customHeight="1">
      <c r="B24" s="477"/>
      <c r="C24" s="256" t="str">
        <f>IF(ISBLANK(B24),"",_xlfn.XLOOKUP(B24,tblIngredients[Article],tblIngredients[Fournisseur],""))</f>
        <v/>
      </c>
      <c r="D24" s="257" t="str">
        <f>IF(ISBLANK(B24),"",_xlfn.XLOOKUP(B24,tblIngredients[Article],tblIngredients[Unité conditionnement],""))</f>
        <v/>
      </c>
      <c r="E24" s="258" t="str">
        <f>IF(ISBLANK(B24),"",_xlfn.XLOOKUP(B24,tblIngredients[Article],tblIngredients[Coût d''achat HTVA  à l''unité],""))</f>
        <v/>
      </c>
      <c r="F24" s="510"/>
      <c r="G24" s="259" t="str">
        <f t="shared" si="0"/>
        <v/>
      </c>
      <c r="H24" s="11" t="str">
        <f t="shared" si="1"/>
        <v/>
      </c>
      <c r="I24" s="514"/>
      <c r="J24" s="512"/>
      <c r="K24" s="513"/>
    </row>
    <row r="25" spans="2:11" s="260" customFormat="1" ht="17.25" customHeight="1">
      <c r="B25" s="477"/>
      <c r="C25" s="256" t="str">
        <f>IF(ISBLANK(B25),"",_xlfn.XLOOKUP(B25,tblIngredients[Article],tblIngredients[Fournisseur],""))</f>
        <v/>
      </c>
      <c r="D25" s="257" t="str">
        <f>IF(ISBLANK(B25),"",_xlfn.XLOOKUP(B25,tblIngredients[Article],tblIngredients[Unité conditionnement],""))</f>
        <v/>
      </c>
      <c r="E25" s="258" t="str">
        <f>IF(ISBLANK(B25),"",_xlfn.XLOOKUP(B25,tblIngredients[Article],tblIngredients[Coût d''achat HTVA  à l''unité],""))</f>
        <v/>
      </c>
      <c r="F25" s="510"/>
      <c r="G25" s="259" t="str">
        <f t="shared" si="0"/>
        <v/>
      </c>
      <c r="H25" s="11" t="str">
        <f t="shared" si="1"/>
        <v/>
      </c>
      <c r="I25" s="514"/>
      <c r="J25" s="512"/>
      <c r="K25" s="513"/>
    </row>
    <row r="26" spans="2:11" s="260" customFormat="1" ht="17.25" customHeight="1">
      <c r="B26" s="477"/>
      <c r="C26" s="256" t="str">
        <f>IF(ISBLANK(B26),"",_xlfn.XLOOKUP(B26,tblIngredients[Article],tblIngredients[Fournisseur],""))</f>
        <v/>
      </c>
      <c r="D26" s="257" t="str">
        <f>IF(ISBLANK(B26),"",_xlfn.XLOOKUP(B26,tblIngredients[Article],tblIngredients[Unité conditionnement],""))</f>
        <v/>
      </c>
      <c r="E26" s="258" t="str">
        <f>IF(ISBLANK(B26),"",_xlfn.XLOOKUP(B26,tblIngredients[Article],tblIngredients[Coût d''achat HTVA  à l''unité],""))</f>
        <v/>
      </c>
      <c r="F26" s="510"/>
      <c r="G26" s="259" t="str">
        <f t="shared" si="0"/>
        <v/>
      </c>
      <c r="H26" s="11" t="str">
        <f t="shared" si="1"/>
        <v/>
      </c>
      <c r="I26" s="514"/>
      <c r="J26" s="512"/>
      <c r="K26" s="513"/>
    </row>
    <row r="27" spans="2:11" s="260" customFormat="1" ht="17.25" customHeight="1">
      <c r="B27" s="477"/>
      <c r="C27" s="256" t="str">
        <f>IF(ISBLANK(B27),"",_xlfn.XLOOKUP(B27,tblIngredients[Article],tblIngredients[Fournisseur],""))</f>
        <v/>
      </c>
      <c r="D27" s="257" t="str">
        <f>IF(ISBLANK(B27),"",_xlfn.XLOOKUP(B27,tblIngredients[Article],tblIngredients[Unité conditionnement],""))</f>
        <v/>
      </c>
      <c r="E27" s="258" t="str">
        <f>IF(ISBLANK(B27),"",_xlfn.XLOOKUP(B27,tblIngredients[Article],tblIngredients[Coût d''achat HTVA  à l''unité],""))</f>
        <v/>
      </c>
      <c r="F27" s="510"/>
      <c r="G27" s="259" t="str">
        <f t="shared" si="0"/>
        <v/>
      </c>
      <c r="H27" s="11" t="str">
        <f t="shared" si="1"/>
        <v/>
      </c>
      <c r="I27" s="514"/>
      <c r="J27" s="512"/>
      <c r="K27" s="513"/>
    </row>
    <row r="28" spans="2:11" s="260" customFormat="1" ht="17.25" customHeight="1">
      <c r="B28" s="477"/>
      <c r="C28" s="256"/>
      <c r="D28" s="257"/>
      <c r="E28" s="258"/>
      <c r="F28" s="510"/>
      <c r="G28" s="259"/>
      <c r="H28" s="11"/>
      <c r="I28" s="514"/>
      <c r="J28" s="512"/>
      <c r="K28" s="513"/>
    </row>
    <row r="29" spans="2:11" s="260" customFormat="1" ht="17.25" customHeight="1">
      <c r="B29" s="477"/>
      <c r="C29" s="256" t="str">
        <f>IF(ISBLANK(B29),"",_xlfn.XLOOKUP(B29,tblIngredients[Article],tblIngredients[Fournisseur],""))</f>
        <v/>
      </c>
      <c r="D29" s="257" t="str">
        <f>IF(ISBLANK(B29),"",_xlfn.XLOOKUP(B29,tblIngredients[Article],tblIngredients[Unité conditionnement],""))</f>
        <v/>
      </c>
      <c r="E29" s="258" t="str">
        <f>IF(ISBLANK(B29),"",_xlfn.XLOOKUP(B29,tblIngredients[Article],tblIngredients[Coût d''achat HTVA  à l''unité],""))</f>
        <v/>
      </c>
      <c r="F29" s="510"/>
      <c r="G29" s="259" t="str">
        <f t="shared" si="0"/>
        <v/>
      </c>
      <c r="H29" s="11" t="str">
        <f t="shared" si="1"/>
        <v/>
      </c>
      <c r="I29" s="514"/>
      <c r="J29" s="512"/>
      <c r="K29" s="513"/>
    </row>
    <row r="30" spans="2:11" s="260" customFormat="1" ht="17.25" customHeight="1">
      <c r="B30" s="477"/>
      <c r="C30" s="256" t="str">
        <f>IF(ISBLANK(B30),"",_xlfn.XLOOKUP(B30,tblIngredients[Article],tblIngredients[Fournisseur],""))</f>
        <v/>
      </c>
      <c r="D30" s="257" t="str">
        <f>IF(ISBLANK(B30),"",_xlfn.XLOOKUP(B30,tblIngredients[Article],tblIngredients[Unité conditionnement],""))</f>
        <v/>
      </c>
      <c r="E30" s="258" t="str">
        <f>IF(ISBLANK(B30),"",_xlfn.XLOOKUP(B30,tblIngredients[Article],tblIngredients[Coût d''achat HTVA  à l''unité],""))</f>
        <v/>
      </c>
      <c r="F30" s="510"/>
      <c r="G30" s="259" t="str">
        <f t="shared" si="0"/>
        <v/>
      </c>
      <c r="H30" s="11" t="str">
        <f t="shared" si="1"/>
        <v/>
      </c>
      <c r="I30" s="514"/>
      <c r="J30" s="512"/>
      <c r="K30" s="513"/>
    </row>
    <row r="31" spans="2:11" s="260" customFormat="1" ht="17.25" customHeight="1">
      <c r="B31" s="477"/>
      <c r="C31" s="256" t="str">
        <f>IF(ISBLANK(B31),"",_xlfn.XLOOKUP(B31,tblIngredients[Article],tblIngredients[Fournisseur],""))</f>
        <v/>
      </c>
      <c r="D31" s="257" t="str">
        <f>IF(ISBLANK(B31),"",_xlfn.XLOOKUP(B31,tblIngredients[Article],tblIngredients[Unité conditionnement],""))</f>
        <v/>
      </c>
      <c r="E31" s="258" t="str">
        <f>IF(ISBLANK(B31),"",_xlfn.XLOOKUP(B31,tblIngredients[Article],tblIngredients[Coût d''achat HTVA  à l''unité],""))</f>
        <v/>
      </c>
      <c r="F31" s="510"/>
      <c r="G31" s="259" t="str">
        <f t="shared" si="0"/>
        <v/>
      </c>
      <c r="H31" s="11" t="str">
        <f t="shared" si="1"/>
        <v/>
      </c>
      <c r="I31" s="514"/>
      <c r="J31" s="512"/>
      <c r="K31" s="513"/>
    </row>
    <row r="32" spans="2:11" s="260" customFormat="1" ht="17.25" customHeight="1">
      <c r="B32" s="477"/>
      <c r="C32" s="256" t="str">
        <f>IF(ISBLANK(B32),"",_xlfn.XLOOKUP(B32,tblIngredients[Article],tblIngredients[Fournisseur],""))</f>
        <v/>
      </c>
      <c r="D32" s="257" t="str">
        <f>IF(ISBLANK(B32),"",_xlfn.XLOOKUP(B32,tblIngredients[Article],tblIngredients[Unité conditionnement],""))</f>
        <v/>
      </c>
      <c r="E32" s="258" t="str">
        <f>IF(ISBLANK(B32),"",_xlfn.XLOOKUP(B32,tblIngredients[Article],tblIngredients[Coût d''achat HTVA  à l''unité],""))</f>
        <v/>
      </c>
      <c r="F32" s="510"/>
      <c r="G32" s="259" t="str">
        <f t="shared" si="0"/>
        <v/>
      </c>
      <c r="H32" s="11" t="str">
        <f t="shared" si="1"/>
        <v/>
      </c>
      <c r="I32" s="514"/>
      <c r="J32" s="512"/>
      <c r="K32" s="513"/>
    </row>
    <row r="33" spans="2:11" s="260" customFormat="1" ht="17.25" customHeight="1">
      <c r="B33" s="904" t="s">
        <v>29</v>
      </c>
      <c r="C33" s="904"/>
      <c r="D33" s="904"/>
      <c r="E33" s="904"/>
      <c r="F33" s="904"/>
      <c r="G33" s="261">
        <f>SUM(G17:G32)</f>
        <v>189.97874999999999</v>
      </c>
      <c r="H33" s="12">
        <f>IF(G33="","",G33/G$45)</f>
        <v>0.72032302138783477</v>
      </c>
      <c r="I33" s="262"/>
      <c r="J33" s="263"/>
      <c r="K33" s="264"/>
    </row>
    <row r="34" spans="2:11" s="260" customFormat="1" ht="17.25" customHeight="1">
      <c r="B34" s="477" t="s">
        <v>19</v>
      </c>
      <c r="C34" s="256" t="str">
        <f>IF(ISBLANK(B34),"",_xlfn.XLOOKUP(B34,tblConsommables[Article],tblConsommables[Fournisseur],""))</f>
        <v>Grossiste</v>
      </c>
      <c r="D34" s="257" t="str">
        <f>IF(ISBLANK(B34),"",_xlfn.XLOOKUP(B34,tblConsommables[Article],tblConsommables[Unité conditionnement],""))</f>
        <v>Unité</v>
      </c>
      <c r="E34" s="258">
        <f>IF(ISBLANK(B34),"",_xlfn.XLOOKUP(B34,tblConsommables[Article],tblConsommables[Coût d''achat HTVA  à l''unité],""))</f>
        <v>0.154</v>
      </c>
      <c r="F34" s="515">
        <v>230</v>
      </c>
      <c r="G34" s="265">
        <f>IF(OR(F34="",ISBLANK(F34)),"",E34*F34)</f>
        <v>35.42</v>
      </c>
      <c r="H34" s="13">
        <f>IF(OR(G34="",ISBLANK(G34)),"",G34/G$43)</f>
        <v>0.48988285410010646</v>
      </c>
      <c r="I34" s="514"/>
      <c r="J34" s="512"/>
      <c r="K34" s="516"/>
    </row>
    <row r="35" spans="2:11" s="260" customFormat="1" ht="17.25" customHeight="1">
      <c r="B35" s="477" t="s">
        <v>38</v>
      </c>
      <c r="C35" s="256" t="str">
        <f>IF(ISBLANK(B35),"",_xlfn.XLOOKUP(B35,tblConsommables[Article],tblConsommables[Fournisseur],""))</f>
        <v>Grossiste</v>
      </c>
      <c r="D35" s="257" t="str">
        <f>IF(ISBLANK(B35),"",_xlfn.XLOOKUP(B35,tblConsommables[Article],tblConsommables[Unité conditionnement],""))</f>
        <v>Unité</v>
      </c>
      <c r="E35" s="258">
        <f>IF(ISBLANK(B35),"",_xlfn.XLOOKUP(B35,tblConsommables[Article],tblConsommables[Coût d''achat HTVA  à l''unité],""))</f>
        <v>0.12</v>
      </c>
      <c r="F35" s="515">
        <v>250</v>
      </c>
      <c r="G35" s="265">
        <f t="shared" ref="G35:G42" si="2">IF(OR(F35="",ISBLANK(F35)),"",E35*F35)</f>
        <v>30</v>
      </c>
      <c r="H35" s="13">
        <f t="shared" ref="H35:H42" si="3">IF(OR(G35="",ISBLANK(G35)),"",G35/G$43)</f>
        <v>0.41492054271606982</v>
      </c>
      <c r="I35" s="514"/>
      <c r="J35" s="512"/>
      <c r="K35" s="516"/>
    </row>
    <row r="36" spans="2:11" s="260" customFormat="1" ht="17.25" customHeight="1">
      <c r="B36" s="477" t="s">
        <v>27</v>
      </c>
      <c r="C36" s="256" t="str">
        <f>IF(ISBLANK(B36),"",_xlfn.XLOOKUP(B36,tblConsommables[Article],tblConsommables[Fournisseur],""))</f>
        <v>Grossiste</v>
      </c>
      <c r="D36" s="257" t="str">
        <f>IF(ISBLANK(B36),"",_xlfn.XLOOKUP(B36,tblConsommables[Article],tblConsommables[Unité conditionnement],""))</f>
        <v>Rack de 1000</v>
      </c>
      <c r="E36" s="258">
        <f>IF(ISBLANK(B36),"",_xlfn.XLOOKUP(B36,tblConsommables[Article],tblConsommables[Coût d''achat HTVA  à l''unité],""))</f>
        <v>27.3</v>
      </c>
      <c r="F36" s="515">
        <v>0.25</v>
      </c>
      <c r="G36" s="265">
        <f t="shared" si="2"/>
        <v>6.8250000000000002</v>
      </c>
      <c r="H36" s="13">
        <f t="shared" si="3"/>
        <v>9.4394423467905886E-2</v>
      </c>
      <c r="I36" s="514"/>
      <c r="J36" s="512"/>
      <c r="K36" s="516"/>
    </row>
    <row r="37" spans="2:11" s="260" customFormat="1" ht="17.25" customHeight="1">
      <c r="B37" s="477" t="s">
        <v>402</v>
      </c>
      <c r="C37" s="256" t="str">
        <f>IF(ISBLANK(B37),"",_xlfn.XLOOKUP(B37,tblConsommables[Article],tblConsommables[Fournisseur],""))</f>
        <v>Grossiste</v>
      </c>
      <c r="D37" s="257" t="str">
        <f>IF(ISBLANK(B37),"",_xlfn.XLOOKUP(B37,tblConsommables[Article],tblConsommables[Unité conditionnement],""))</f>
        <v>Rack de 1000</v>
      </c>
      <c r="E37" s="258">
        <f>IF(ISBLANK(B37),"",_xlfn.XLOOKUP(B37,tblConsommables[Article],tblConsommables[Coût d''achat HTVA  à l''unité],""))</f>
        <v>58</v>
      </c>
      <c r="F37" s="515">
        <v>1E-3</v>
      </c>
      <c r="G37" s="265">
        <f t="shared" si="2"/>
        <v>5.8000000000000003E-2</v>
      </c>
      <c r="H37" s="13">
        <f t="shared" si="3"/>
        <v>8.0217971591773501E-4</v>
      </c>
      <c r="I37" s="514"/>
      <c r="J37" s="512"/>
      <c r="K37" s="516"/>
    </row>
    <row r="38" spans="2:11" s="260" customFormat="1" ht="17.25" customHeight="1">
      <c r="B38" s="477"/>
      <c r="C38" s="256" t="str">
        <f>IF(ISBLANK(B38),"",_xlfn.XLOOKUP(B38,tblConsommables[Article],tblConsommables[Fournisseur],""))</f>
        <v/>
      </c>
      <c r="D38" s="257" t="str">
        <f>IF(ISBLANK(B38),"",_xlfn.XLOOKUP(B38,tblConsommables[Article],tblConsommables[Unité conditionnement],""))</f>
        <v/>
      </c>
      <c r="E38" s="258" t="str">
        <f>IF(ISBLANK(B38),"",_xlfn.XLOOKUP(B38,tblConsommables[Article],tblConsommables[Coût d''achat HTVA  à l''unité],""))</f>
        <v/>
      </c>
      <c r="F38" s="515"/>
      <c r="G38" s="265" t="str">
        <f t="shared" si="2"/>
        <v/>
      </c>
      <c r="H38" s="13" t="str">
        <f t="shared" si="3"/>
        <v/>
      </c>
      <c r="I38" s="514"/>
      <c r="J38" s="512"/>
      <c r="K38" s="516"/>
    </row>
    <row r="39" spans="2:11" s="260" customFormat="1" ht="17.25" customHeight="1">
      <c r="B39" s="477"/>
      <c r="C39" s="256" t="str">
        <f>IF(ISBLANK(B39),"",_xlfn.XLOOKUP(B39,tblConsommables[Article],tblConsommables[Fournisseur],""))</f>
        <v/>
      </c>
      <c r="D39" s="257" t="str">
        <f>IF(ISBLANK(B39),"",_xlfn.XLOOKUP(B39,tblConsommables[Article],tblConsommables[Unité conditionnement],""))</f>
        <v/>
      </c>
      <c r="E39" s="258" t="str">
        <f>IF(ISBLANK(B39),"",_xlfn.XLOOKUP(B39,tblConsommables[Article],tblConsommables[Coût d''achat HTVA  à l''unité],""))</f>
        <v/>
      </c>
      <c r="F39" s="515"/>
      <c r="G39" s="265" t="str">
        <f t="shared" si="2"/>
        <v/>
      </c>
      <c r="H39" s="13" t="str">
        <f t="shared" si="3"/>
        <v/>
      </c>
      <c r="I39" s="514"/>
      <c r="J39" s="512"/>
      <c r="K39" s="516"/>
    </row>
    <row r="40" spans="2:11" s="260" customFormat="1" ht="17.25" customHeight="1">
      <c r="B40" s="477"/>
      <c r="C40" s="256" t="str">
        <f>IF(ISBLANK(B40),"",_xlfn.XLOOKUP(B40,tblConsommables[Article],tblConsommables[Fournisseur],""))</f>
        <v/>
      </c>
      <c r="D40" s="257" t="str">
        <f>IF(ISBLANK(B40),"",_xlfn.XLOOKUP(B40,tblConsommables[Article],tblConsommables[Unité conditionnement],""))</f>
        <v/>
      </c>
      <c r="E40" s="258" t="str">
        <f>IF(ISBLANK(B40),"",_xlfn.XLOOKUP(B40,tblConsommables[Article],tblConsommables[Coût d''achat HTVA  à l''unité],""))</f>
        <v/>
      </c>
      <c r="F40" s="515"/>
      <c r="G40" s="265" t="str">
        <f t="shared" si="2"/>
        <v/>
      </c>
      <c r="H40" s="13" t="str">
        <f t="shared" si="3"/>
        <v/>
      </c>
      <c r="I40" s="514"/>
      <c r="J40" s="512"/>
      <c r="K40" s="516"/>
    </row>
    <row r="41" spans="2:11" s="260" customFormat="1" ht="17.25" customHeight="1">
      <c r="B41" s="477"/>
      <c r="C41" s="256" t="str">
        <f>IF(ISBLANK(B41),"",_xlfn.XLOOKUP(B41,tblConsommables[Article],tblConsommables[Fournisseur],""))</f>
        <v/>
      </c>
      <c r="D41" s="257" t="str">
        <f>IF(ISBLANK(B41),"",_xlfn.XLOOKUP(B41,tblConsommables[Article],tblConsommables[Unité conditionnement],""))</f>
        <v/>
      </c>
      <c r="E41" s="258" t="str">
        <f>IF(ISBLANK(B41),"",_xlfn.XLOOKUP(B41,tblConsommables[Article],tblConsommables[Coût d''achat HTVA  à l''unité],""))</f>
        <v/>
      </c>
      <c r="F41" s="515"/>
      <c r="G41" s="265" t="str">
        <f t="shared" si="2"/>
        <v/>
      </c>
      <c r="H41" s="13" t="str">
        <f t="shared" si="3"/>
        <v/>
      </c>
      <c r="I41" s="514"/>
      <c r="J41" s="512"/>
      <c r="K41" s="516"/>
    </row>
    <row r="42" spans="2:11" s="260" customFormat="1" ht="17.25" customHeight="1" thickBot="1">
      <c r="B42" s="477"/>
      <c r="C42" s="256" t="str">
        <f>IF(ISBLANK(B42),"",_xlfn.XLOOKUP(B42,tblConsommables[Article],tblConsommables[Fournisseur],""))</f>
        <v/>
      </c>
      <c r="D42" s="257" t="str">
        <f>IF(ISBLANK(B42),"",_xlfn.XLOOKUP(B42,tblConsommables[Article],tblConsommables[Unité conditionnement],""))</f>
        <v/>
      </c>
      <c r="E42" s="258" t="str">
        <f>IF(ISBLANK(B42),"",_xlfn.XLOOKUP(B42,tblConsommables[Article],tblConsommables[Coût d''achat HTVA  à l''unité],""))</f>
        <v/>
      </c>
      <c r="F42" s="517"/>
      <c r="G42" s="265" t="str">
        <f t="shared" si="2"/>
        <v/>
      </c>
      <c r="H42" s="13" t="str">
        <f t="shared" si="3"/>
        <v/>
      </c>
      <c r="I42" s="514"/>
      <c r="J42" s="512"/>
      <c r="K42" s="516"/>
    </row>
    <row r="43" spans="2:11" s="260" customFormat="1" ht="17.25" customHeight="1" thickBot="1">
      <c r="B43" s="897" t="s">
        <v>31</v>
      </c>
      <c r="C43" s="898"/>
      <c r="D43" s="898"/>
      <c r="E43" s="898"/>
      <c r="F43" s="898"/>
      <c r="G43" s="266">
        <f>SUM(G34:G42)</f>
        <v>72.303000000000011</v>
      </c>
      <c r="H43" s="14">
        <f>IF(G43="","",G43/G$45)</f>
        <v>0.27414389985935073</v>
      </c>
      <c r="I43" s="267"/>
      <c r="J43" s="267"/>
      <c r="K43" s="267"/>
    </row>
    <row r="44" spans="2:11" s="260" customFormat="1" ht="17.25" customHeight="1">
      <c r="B44" s="897" t="s">
        <v>180</v>
      </c>
      <c r="C44" s="898"/>
      <c r="D44" s="898"/>
      <c r="E44" s="898"/>
      <c r="F44" s="898"/>
      <c r="G44" s="268">
        <f>J73</f>
        <v>1.4593</v>
      </c>
      <c r="H44" s="14">
        <f>IF(G44="","",G44/G$45)</f>
        <v>5.5330787528145515E-3</v>
      </c>
      <c r="I44" s="269"/>
      <c r="J44" s="267"/>
      <c r="K44" s="267"/>
    </row>
    <row r="45" spans="2:11" s="260" customFormat="1" ht="17.25" customHeight="1">
      <c r="B45" s="518" t="s">
        <v>292</v>
      </c>
      <c r="C45" s="519"/>
      <c r="D45" s="519"/>
      <c r="E45" s="519"/>
      <c r="F45" s="520"/>
      <c r="G45" s="270">
        <f>SUM(G33,G43,G44)</f>
        <v>263.74104999999997</v>
      </c>
      <c r="H45" s="15">
        <f>IF(G45="","",G45/G$45)</f>
        <v>1</v>
      </c>
      <c r="I45" s="521"/>
      <c r="J45" s="521"/>
      <c r="K45" s="521"/>
    </row>
    <row r="46" spans="2:11" s="260" customFormat="1" ht="17.25" customHeight="1">
      <c r="B46" s="489" t="s">
        <v>293</v>
      </c>
      <c r="C46" s="522"/>
      <c r="D46" s="522"/>
      <c r="E46" s="522"/>
      <c r="F46" s="523"/>
      <c r="G46" s="270">
        <f>G45/D8</f>
        <v>1.1721824444444444</v>
      </c>
      <c r="H46" s="524"/>
      <c r="I46" s="521"/>
      <c r="J46" s="521"/>
      <c r="K46" s="521"/>
    </row>
    <row r="47" spans="2:11" s="260" customFormat="1" ht="17.25" customHeight="1">
      <c r="B47" s="521"/>
      <c r="C47" s="521"/>
      <c r="D47" s="521"/>
      <c r="E47" s="521"/>
      <c r="F47" s="521"/>
      <c r="G47" s="521"/>
      <c r="H47" s="525"/>
      <c r="I47" s="521"/>
      <c r="J47" s="521"/>
      <c r="K47" s="521"/>
    </row>
    <row r="48" spans="2:11" s="260" customFormat="1" ht="17.25" customHeight="1">
      <c r="B48" s="901" t="s">
        <v>294</v>
      </c>
      <c r="C48" s="902"/>
      <c r="D48" s="902"/>
      <c r="E48" s="902"/>
      <c r="F48" s="902"/>
      <c r="G48" s="903"/>
      <c r="H48" s="526"/>
      <c r="I48" s="901" t="s">
        <v>26</v>
      </c>
      <c r="J48" s="902"/>
      <c r="K48" s="903"/>
    </row>
    <row r="49" spans="2:17" s="260" customFormat="1" ht="17.25" customHeight="1">
      <c r="B49" s="489" t="s">
        <v>295</v>
      </c>
      <c r="C49" s="527"/>
      <c r="D49" s="527"/>
      <c r="E49" s="528"/>
      <c r="F49" s="529"/>
      <c r="G49" s="271">
        <f>D10</f>
        <v>4.0599999999999996</v>
      </c>
      <c r="H49" s="530"/>
      <c r="I49" s="489" t="s">
        <v>9</v>
      </c>
      <c r="J49" s="523"/>
      <c r="K49" s="271">
        <f>G10</f>
        <v>4.6698113207547172</v>
      </c>
    </row>
    <row r="50" spans="2:17" s="260" customFormat="1" ht="17.25" customHeight="1">
      <c r="B50" s="489" t="s">
        <v>296</v>
      </c>
      <c r="C50" s="527"/>
      <c r="D50" s="527"/>
      <c r="E50" s="522"/>
      <c r="F50" s="531"/>
      <c r="G50" s="272">
        <f>G49-G46</f>
        <v>2.8878175555555554</v>
      </c>
      <c r="H50" s="532"/>
      <c r="I50" s="489" t="s">
        <v>10</v>
      </c>
      <c r="J50" s="523"/>
      <c r="K50" s="272">
        <f>K49-G46</f>
        <v>3.497628876310273</v>
      </c>
    </row>
    <row r="51" spans="2:17" s="260" customFormat="1" ht="17.25" customHeight="1">
      <c r="B51" s="489" t="s">
        <v>410</v>
      </c>
      <c r="C51" s="527"/>
      <c r="D51" s="527"/>
      <c r="E51" s="522"/>
      <c r="F51" s="529"/>
      <c r="G51" s="272">
        <f>G50*$D8</f>
        <v>649.75894999999991</v>
      </c>
      <c r="H51" s="532"/>
      <c r="I51" s="489" t="s">
        <v>410</v>
      </c>
      <c r="J51" s="523"/>
      <c r="K51" s="272">
        <f>K50*$D8</f>
        <v>786.96649716981142</v>
      </c>
    </row>
    <row r="52" spans="2:17" s="260" customFormat="1" ht="17.25" customHeight="1">
      <c r="B52" s="489" t="s">
        <v>411</v>
      </c>
      <c r="C52" s="527"/>
      <c r="D52" s="527"/>
      <c r="E52" s="522"/>
      <c r="F52" s="529"/>
      <c r="G52" s="272">
        <f>G51/($C73*(1/60))</f>
        <v>135.36644791666666</v>
      </c>
      <c r="H52" s="532"/>
      <c r="I52" s="489" t="s">
        <v>411</v>
      </c>
      <c r="J52" s="523"/>
      <c r="K52" s="272">
        <f>K51/($C73*(1/60))</f>
        <v>163.95135357704405</v>
      </c>
    </row>
    <row r="53" spans="2:17" s="260" customFormat="1" ht="17.25" customHeight="1">
      <c r="B53" s="489" t="s">
        <v>297</v>
      </c>
      <c r="C53" s="527"/>
      <c r="D53" s="527"/>
      <c r="E53" s="522"/>
      <c r="F53" s="529"/>
      <c r="G53" s="16">
        <f>G50/$G$46</f>
        <v>2.4636246424286243</v>
      </c>
      <c r="H53" s="533"/>
      <c r="I53" s="489" t="s">
        <v>11</v>
      </c>
      <c r="J53" s="523"/>
      <c r="K53" s="16">
        <f>K50/$G$46</f>
        <v>2.9838604842507888</v>
      </c>
    </row>
    <row r="54" spans="2:17" s="260" customFormat="1" ht="17.25" customHeight="1" thickBot="1">
      <c r="B54" s="489" t="s">
        <v>12</v>
      </c>
      <c r="C54" s="527"/>
      <c r="D54" s="527"/>
      <c r="E54" s="522"/>
      <c r="F54" s="529"/>
      <c r="G54" s="273">
        <f>G49/$G$46</f>
        <v>3.4636246424286243</v>
      </c>
      <c r="H54" s="530"/>
      <c r="I54" s="489" t="s">
        <v>12</v>
      </c>
      <c r="J54" s="523"/>
      <c r="K54" s="273">
        <f>K49/$G$46</f>
        <v>3.9838604842507883</v>
      </c>
    </row>
    <row r="55" spans="2:17" ht="14.4">
      <c r="B55" s="489" t="s">
        <v>13</v>
      </c>
      <c r="C55" s="527"/>
      <c r="D55" s="527"/>
      <c r="E55" s="534"/>
      <c r="F55" s="535"/>
      <c r="G55" s="17">
        <f>G46/G49</f>
        <v>0.28871488779419818</v>
      </c>
      <c r="H55" s="488"/>
      <c r="I55" s="489" t="s">
        <v>13</v>
      </c>
      <c r="J55" s="523"/>
      <c r="K55" s="17">
        <f>G46/K49</f>
        <v>0.25101280628507294</v>
      </c>
      <c r="L55" s="260"/>
      <c r="M55" s="260"/>
      <c r="N55" s="260"/>
      <c r="O55" s="260"/>
      <c r="P55" s="260"/>
      <c r="Q55" s="260"/>
    </row>
    <row r="56" spans="2:17" ht="15.05" thickBot="1">
      <c r="B56" s="489" t="s">
        <v>403</v>
      </c>
      <c r="C56" s="488"/>
      <c r="D56" s="488"/>
      <c r="E56" s="488"/>
      <c r="F56" s="536"/>
      <c r="G56" s="274">
        <f ca="1">'4. CHARGES FIXES'!J18/(1-G55)</f>
        <v>73050.390517344262</v>
      </c>
      <c r="H56" s="488"/>
      <c r="I56" s="489" t="s">
        <v>405</v>
      </c>
      <c r="J56" s="488"/>
      <c r="K56" s="274">
        <f ca="1">'4. CHARGES FIXES'!J18/(1-K55)</f>
        <v>69373.222468718581</v>
      </c>
      <c r="L56" s="260"/>
      <c r="M56" s="260"/>
      <c r="N56" s="260"/>
      <c r="O56" s="260"/>
      <c r="P56" s="260"/>
      <c r="Q56" s="260"/>
    </row>
    <row r="57" spans="2:17" ht="15.05" thickBot="1">
      <c r="B57" s="537" t="s">
        <v>404</v>
      </c>
      <c r="C57" s="488"/>
      <c r="D57" s="488"/>
      <c r="E57" s="488"/>
      <c r="F57" s="536"/>
      <c r="G57" s="275">
        <f ca="1">G56/G49</f>
        <v>17992.707023976422</v>
      </c>
      <c r="H57" s="488"/>
      <c r="I57" s="489" t="s">
        <v>406</v>
      </c>
      <c r="J57" s="488"/>
      <c r="K57" s="275">
        <f ca="1">K56/K49</f>
        <v>14855.679962998322</v>
      </c>
      <c r="L57" s="260"/>
      <c r="M57" s="260"/>
      <c r="N57" s="260"/>
      <c r="O57" s="260"/>
      <c r="P57" s="260"/>
      <c r="Q57" s="260"/>
    </row>
    <row r="58" spans="2:17" ht="15.05" thickBot="1">
      <c r="B58" s="488"/>
      <c r="C58" s="488"/>
      <c r="D58" s="488"/>
      <c r="E58" s="488"/>
      <c r="F58" s="536"/>
      <c r="G58" s="488"/>
      <c r="H58" s="488"/>
      <c r="I58" s="488"/>
      <c r="J58" s="488"/>
      <c r="K58" s="521"/>
      <c r="L58" s="260"/>
      <c r="M58" s="260"/>
      <c r="N58" s="260"/>
      <c r="O58" s="260"/>
      <c r="P58" s="260"/>
      <c r="Q58" s="260"/>
    </row>
    <row r="59" spans="2:17" ht="13.15">
      <c r="B59" s="907" t="s">
        <v>298</v>
      </c>
      <c r="C59" s="908"/>
      <c r="D59" s="908"/>
      <c r="E59" s="908"/>
      <c r="F59" s="908"/>
      <c r="G59" s="908"/>
      <c r="H59" s="908"/>
      <c r="I59" s="908"/>
      <c r="J59" s="909"/>
      <c r="K59" s="521"/>
      <c r="L59" s="260"/>
      <c r="M59" s="260"/>
      <c r="N59" s="260"/>
      <c r="O59" s="260"/>
      <c r="P59" s="260"/>
      <c r="Q59" s="260"/>
    </row>
    <row r="60" spans="2:17" ht="13.15">
      <c r="B60" s="538" t="s">
        <v>41</v>
      </c>
      <c r="C60" s="538" t="s">
        <v>299</v>
      </c>
      <c r="D60" s="538" t="s">
        <v>168</v>
      </c>
      <c r="E60" s="538" t="s">
        <v>301</v>
      </c>
      <c r="F60" s="538" t="s">
        <v>169</v>
      </c>
      <c r="G60" s="538" t="s">
        <v>172</v>
      </c>
      <c r="H60" s="538" t="s">
        <v>170</v>
      </c>
      <c r="I60" s="538" t="s">
        <v>174</v>
      </c>
      <c r="J60" s="538" t="s">
        <v>179</v>
      </c>
      <c r="K60" s="488"/>
    </row>
    <row r="61" spans="2:17" ht="13.15">
      <c r="B61" s="539" t="s">
        <v>46</v>
      </c>
      <c r="C61" s="540">
        <v>20</v>
      </c>
      <c r="D61" s="540">
        <v>0</v>
      </c>
      <c r="E61" s="276">
        <f>C61+D61</f>
        <v>20</v>
      </c>
      <c r="F61" s="540"/>
      <c r="G61" s="540"/>
      <c r="H61" s="276">
        <f t="shared" ref="H61:H62" si="4">G61*D61/60</f>
        <v>0</v>
      </c>
      <c r="I61" s="541"/>
      <c r="J61" s="277" cm="1">
        <f t="array" ref="J61">_xlfn.IFS(I61=Listes!$C$2,'1. DONNEES DE BASE'!$B$2*H61,'FT_PROD (4)'!I61=Listes!$C$3,'1. DONNEES DE BASE'!$B$3*'FT_PROD (4)'!H61,TRUE,0)</f>
        <v>0</v>
      </c>
      <c r="K61" s="488"/>
    </row>
    <row r="62" spans="2:17" ht="13.15">
      <c r="B62" s="539" t="s">
        <v>45</v>
      </c>
      <c r="C62" s="540">
        <v>120</v>
      </c>
      <c r="D62" s="540">
        <v>0</v>
      </c>
      <c r="E62" s="276">
        <f t="shared" ref="E62:E72" si="5">C62+D62</f>
        <v>120</v>
      </c>
      <c r="F62" s="540"/>
      <c r="G62" s="540"/>
      <c r="H62" s="276">
        <f t="shared" si="4"/>
        <v>0</v>
      </c>
      <c r="I62" s="541"/>
      <c r="J62" s="277" cm="1">
        <f t="array" ref="J62">_xlfn.IFS(I62=Listes!$C$2,'1. DONNEES DE BASE'!$B$2*H62,'FT_PROD (4)'!I62=Listes!$C$3,'1. DONNEES DE BASE'!$B$3*'FT_PROD (4)'!H62,TRUE,0)</f>
        <v>0</v>
      </c>
      <c r="K62" s="488"/>
    </row>
    <row r="63" spans="2:17" ht="13.15">
      <c r="B63" s="539" t="s">
        <v>42</v>
      </c>
      <c r="C63" s="540">
        <v>10</v>
      </c>
      <c r="D63" s="542">
        <v>120</v>
      </c>
      <c r="E63" s="276">
        <f t="shared" si="5"/>
        <v>130</v>
      </c>
      <c r="F63" s="540" t="s">
        <v>173</v>
      </c>
      <c r="G63" s="540">
        <v>3</v>
      </c>
      <c r="H63" s="276">
        <f>G63*D63/60</f>
        <v>6</v>
      </c>
      <c r="I63" s="541" t="s">
        <v>175</v>
      </c>
      <c r="J63" s="277" cm="1">
        <f t="array" ref="J63">_xlfn.IFS(I63=Listes!$C$2,'1. DONNEES DE BASE'!$B$2*H63,'FT_PROD (4)'!I63=Listes!$C$3,'1. DONNEES DE BASE'!$B$3*'FT_PROD (4)'!H63,TRUE,0)</f>
        <v>0.48180000000000001</v>
      </c>
      <c r="K63" s="488"/>
    </row>
    <row r="64" spans="2:17" ht="13.15">
      <c r="B64" s="539" t="s">
        <v>43</v>
      </c>
      <c r="C64" s="540">
        <v>3</v>
      </c>
      <c r="D64" s="540">
        <v>0</v>
      </c>
      <c r="E64" s="276">
        <f t="shared" si="5"/>
        <v>3</v>
      </c>
      <c r="F64" s="540"/>
      <c r="G64" s="540"/>
      <c r="H64" s="276">
        <f t="shared" ref="H64:H72" si="6">G64*D64/60</f>
        <v>0</v>
      </c>
      <c r="I64" s="541"/>
      <c r="J64" s="277" cm="1">
        <f t="array" ref="J64">_xlfn.IFS(I64=Listes!$C$2,'1. DONNEES DE BASE'!$B$2*H64,'FT_PROD (4)'!I64=Listes!$C$3,'1. DONNEES DE BASE'!$B$3*'FT_PROD (4)'!H64,TRUE,0)</f>
        <v>0</v>
      </c>
      <c r="K64" s="488"/>
    </row>
    <row r="65" spans="2:11" ht="13.15">
      <c r="B65" s="539" t="s">
        <v>44</v>
      </c>
      <c r="C65" s="540">
        <v>15</v>
      </c>
      <c r="D65" s="542">
        <v>120</v>
      </c>
      <c r="E65" s="276">
        <f t="shared" si="5"/>
        <v>135</v>
      </c>
      <c r="F65" s="540"/>
      <c r="G65" s="540">
        <v>2</v>
      </c>
      <c r="H65" s="276">
        <f t="shared" si="6"/>
        <v>4</v>
      </c>
      <c r="I65" s="541" t="s">
        <v>176</v>
      </c>
      <c r="J65" s="277" cm="1">
        <f t="array" ref="J65">_xlfn.IFS(I65=Listes!$C$2,'1. DONNEES DE BASE'!$B$2*H65,'FT_PROD (4)'!I65=Listes!$C$3,'1. DONNEES DE BASE'!$B$3*'FT_PROD (4)'!H65,TRUE,0)</f>
        <v>0.8</v>
      </c>
      <c r="K65" s="488"/>
    </row>
    <row r="66" spans="2:11" ht="13.15">
      <c r="B66" s="539" t="s">
        <v>27</v>
      </c>
      <c r="C66" s="540">
        <v>120</v>
      </c>
      <c r="D66" s="540">
        <v>0</v>
      </c>
      <c r="E66" s="276">
        <f t="shared" si="5"/>
        <v>120</v>
      </c>
      <c r="F66" s="540"/>
      <c r="G66" s="540"/>
      <c r="H66" s="276">
        <f t="shared" si="6"/>
        <v>0</v>
      </c>
      <c r="I66" s="541"/>
      <c r="J66" s="277" cm="1">
        <f t="array" ref="J66">_xlfn.IFS(I66=Listes!$C$2,'1. DONNEES DE BASE'!$B$2*H66,'FT_PROD (4)'!I66=Listes!$C$3,'1. DONNEES DE BASE'!$B$3*'FT_PROD (4)'!H66,TRUE,0)</f>
        <v>0</v>
      </c>
      <c r="K66" s="488"/>
    </row>
    <row r="67" spans="2:11" ht="13.15">
      <c r="B67" s="543" t="s">
        <v>167</v>
      </c>
      <c r="C67" s="540">
        <v>0</v>
      </c>
      <c r="D67" s="540">
        <v>0</v>
      </c>
      <c r="E67" s="276">
        <f t="shared" si="5"/>
        <v>0</v>
      </c>
      <c r="F67" s="540"/>
      <c r="G67" s="540"/>
      <c r="H67" s="276">
        <f t="shared" si="6"/>
        <v>0</v>
      </c>
      <c r="I67" s="541"/>
      <c r="J67" s="277" cm="1">
        <f t="array" ref="J67">_xlfn.IFS(I67=Listes!$C$2,'1. DONNEES DE BASE'!$B$2*H67,'FT_PROD (4)'!I67=Listes!$C$3,'1. DONNEES DE BASE'!$B$3*'FT_PROD (4)'!H67,TRUE,0)</f>
        <v>0</v>
      </c>
      <c r="K67" s="488"/>
    </row>
    <row r="68" spans="2:11" ht="13.15">
      <c r="B68" s="543" t="s">
        <v>48</v>
      </c>
      <c r="C68" s="540">
        <v>0</v>
      </c>
      <c r="D68" s="540">
        <v>15</v>
      </c>
      <c r="E68" s="276">
        <f t="shared" si="5"/>
        <v>15</v>
      </c>
      <c r="F68" s="540" t="s">
        <v>171</v>
      </c>
      <c r="G68" s="540">
        <v>3.55</v>
      </c>
      <c r="H68" s="276">
        <f t="shared" si="6"/>
        <v>0.88749999999999996</v>
      </c>
      <c r="I68" s="541" t="s">
        <v>176</v>
      </c>
      <c r="J68" s="277" cm="1">
        <f t="array" ref="J68">_xlfn.IFS(I68=Listes!$C$2,'1. DONNEES DE BASE'!$B$2*H68,'FT_PROD (4)'!I68=Listes!$C$3,'1. DONNEES DE BASE'!$B$3*'FT_PROD (4)'!H68,TRUE,0)</f>
        <v>0.17749999999999999</v>
      </c>
      <c r="K68" s="488"/>
    </row>
    <row r="69" spans="2:11" ht="13.15">
      <c r="B69" s="543" t="s">
        <v>302</v>
      </c>
      <c r="C69" s="540">
        <v>0</v>
      </c>
      <c r="D69" s="540">
        <v>0</v>
      </c>
      <c r="E69" s="276">
        <f t="shared" si="5"/>
        <v>0</v>
      </c>
      <c r="F69" s="540"/>
      <c r="G69" s="540"/>
      <c r="H69" s="276">
        <f t="shared" si="6"/>
        <v>0</v>
      </c>
      <c r="I69" s="541"/>
      <c r="J69" s="277" cm="1">
        <f t="array" ref="J69">_xlfn.IFS(I69=Listes!$C$2,'1. DONNEES DE BASE'!$B$2*H69,'FT_PROD (4)'!I69=Listes!$C$3,'1. DONNEES DE BASE'!$B$3*'FT_PROD (4)'!H69,TRUE,0)</f>
        <v>0</v>
      </c>
      <c r="K69" s="488"/>
    </row>
    <row r="70" spans="2:11" ht="13.15">
      <c r="B70" s="543" t="s">
        <v>303</v>
      </c>
      <c r="C70" s="540">
        <v>0</v>
      </c>
      <c r="D70" s="540">
        <v>0</v>
      </c>
      <c r="E70" s="276">
        <f t="shared" si="5"/>
        <v>0</v>
      </c>
      <c r="F70" s="540"/>
      <c r="G70" s="540"/>
      <c r="H70" s="276">
        <f t="shared" si="6"/>
        <v>0</v>
      </c>
      <c r="I70" s="541"/>
      <c r="J70" s="277" cm="1">
        <f t="array" ref="J70">_xlfn.IFS(I70=Listes!$C$2,'1. DONNEES DE BASE'!$B$2*H70,'FT_PROD (4)'!I70=Listes!$C$3,'1. DONNEES DE BASE'!$B$3*'FT_PROD (4)'!H70,TRUE,0)</f>
        <v>0</v>
      </c>
      <c r="K70" s="488"/>
    </row>
    <row r="71" spans="2:11" ht="13.15">
      <c r="B71" s="543" t="s">
        <v>304</v>
      </c>
      <c r="C71" s="540">
        <v>0</v>
      </c>
      <c r="D71" s="540">
        <v>0</v>
      </c>
      <c r="E71" s="276">
        <f t="shared" si="5"/>
        <v>0</v>
      </c>
      <c r="F71" s="540"/>
      <c r="G71" s="540"/>
      <c r="H71" s="276">
        <f t="shared" si="6"/>
        <v>0</v>
      </c>
      <c r="I71" s="541"/>
      <c r="J71" s="277" cm="1">
        <f t="array" ref="J71">_xlfn.IFS(I71=Listes!$C$2,'1. DONNEES DE BASE'!$B$2*H71,'FT_PROD (4)'!I71=Listes!$C$3,'1. DONNEES DE BASE'!$B$3*'FT_PROD (4)'!H71,TRUE,0)</f>
        <v>0</v>
      </c>
      <c r="K71" s="488"/>
    </row>
    <row r="72" spans="2:11" ht="13.15">
      <c r="B72" s="543" t="s">
        <v>305</v>
      </c>
      <c r="C72" s="540">
        <v>0</v>
      </c>
      <c r="D72" s="540">
        <v>0</v>
      </c>
      <c r="E72" s="276">
        <f t="shared" si="5"/>
        <v>0</v>
      </c>
      <c r="F72" s="540"/>
      <c r="G72" s="540"/>
      <c r="H72" s="276">
        <f t="shared" si="6"/>
        <v>0</v>
      </c>
      <c r="I72" s="541"/>
      <c r="J72" s="277" cm="1">
        <f t="array" ref="J72">_xlfn.IFS(I72=Listes!$C$2,'1. DONNEES DE BASE'!$B$2*H72,'FT_PROD (4)'!I72=Listes!$C$3,'1. DONNEES DE BASE'!$B$3*'FT_PROD (4)'!H72,TRUE,0)</f>
        <v>0</v>
      </c>
      <c r="K72" s="488"/>
    </row>
    <row r="73" spans="2:11" ht="13.8" thickBot="1">
      <c r="B73" s="278" t="s">
        <v>47</v>
      </c>
      <c r="C73" s="279">
        <f>SUM(C61:C72)</f>
        <v>288</v>
      </c>
      <c r="D73" s="279">
        <f>SUM(D61:D72)</f>
        <v>255</v>
      </c>
      <c r="E73" s="279">
        <f>SUM(E61:E72)</f>
        <v>543</v>
      </c>
      <c r="F73" s="279"/>
      <c r="G73" s="279"/>
      <c r="H73" s="279">
        <f>SUM(H61:H72)</f>
        <v>10.887499999999999</v>
      </c>
      <c r="I73" s="279"/>
      <c r="J73" s="18">
        <f>SUMIF(J61:J72,"&lt;&gt;#N/A")</f>
        <v>1.4593</v>
      </c>
      <c r="K73" s="488"/>
    </row>
    <row r="74" spans="2:11">
      <c r="B74" s="488"/>
      <c r="C74" s="488"/>
      <c r="D74" s="488"/>
      <c r="E74" s="488"/>
      <c r="F74" s="488"/>
      <c r="G74" s="488"/>
      <c r="H74" s="488"/>
      <c r="I74" s="488"/>
      <c r="J74" s="488"/>
      <c r="K74" s="488"/>
    </row>
    <row r="75" spans="2:11">
      <c r="B75" s="488"/>
      <c r="C75" s="488"/>
      <c r="D75" s="488"/>
      <c r="E75" s="488"/>
      <c r="F75" s="488"/>
      <c r="G75" s="488"/>
      <c r="H75" s="488"/>
      <c r="I75" s="488"/>
      <c r="J75" s="488"/>
      <c r="K75" s="488"/>
    </row>
    <row r="76" spans="2:11">
      <c r="B76" s="544" t="s">
        <v>531</v>
      </c>
      <c r="C76" s="544"/>
      <c r="D76" s="488"/>
      <c r="E76" s="488"/>
      <c r="F76" s="488"/>
      <c r="G76" s="488"/>
      <c r="H76" s="488"/>
      <c r="I76" s="488"/>
      <c r="J76" s="488"/>
      <c r="K76" s="488"/>
    </row>
    <row r="77" spans="2:11" ht="13.15">
      <c r="B77" s="545" t="s">
        <v>532</v>
      </c>
      <c r="C77" s="280">
        <f>SUMIFS(G17:G32,C17:C32,"Auto")</f>
        <v>175</v>
      </c>
      <c r="D77" s="488"/>
      <c r="E77" s="488"/>
      <c r="F77" s="488"/>
      <c r="G77" s="488"/>
      <c r="H77" s="488"/>
      <c r="I77" s="488"/>
      <c r="J77" s="488"/>
      <c r="K77" s="488"/>
    </row>
    <row r="78" spans="2:11" ht="13.15">
      <c r="B78" s="545" t="s">
        <v>533</v>
      </c>
      <c r="C78" s="281">
        <f>C77/D8</f>
        <v>0.77777777777777779</v>
      </c>
      <c r="D78" s="488"/>
      <c r="E78" s="488"/>
      <c r="F78" s="488"/>
      <c r="G78" s="488"/>
      <c r="H78" s="488"/>
      <c r="I78" s="488"/>
      <c r="J78" s="488"/>
      <c r="K78" s="488"/>
    </row>
  </sheetData>
  <sheetProtection algorithmName="SHA-512" hashValue="zddH3eYvybbk+Ni4vgT2GBCSDafq4Y1MM6dztiAmGYnI3V04KBVlzszp9oGvMFM9DnNaVescf59MUuFwKppj/g==" saltValue="ObChr7Xz6cxInEsbdYGPRA==" spinCount="100000" sheet="1" objects="1" scenarios="1" sort="0" autoFilter="0"/>
  <protectedRanges>
    <protectedRange sqref="I61:I72" name="TYpe energie"/>
    <protectedRange sqref="C2:C3 D5:D6 D8 D10:D11 G11:G12" name="Données de base"/>
    <protectedRange sqref="I17:K32 I34:K42 B34:F42 B17:F32" name="Ingred et consommables"/>
    <protectedRange sqref="B61:D72 F61:G72" name="Energie et travail"/>
  </protectedRanges>
  <mergeCells count="17">
    <mergeCell ref="B33:F3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I16:K16"/>
    <mergeCell ref="B43:F43"/>
    <mergeCell ref="B44:F44"/>
    <mergeCell ref="B48:G48"/>
    <mergeCell ref="I48:K48"/>
    <mergeCell ref="B59:J59"/>
  </mergeCells>
  <dataValidations count="2">
    <dataValidation type="list" allowBlank="1" showInputMessage="1" showErrorMessage="1" errorTitle="Consommable invalide" error="Veuillez sélectionner un consommable dans la liste." sqref="B34:B42" xr:uid="{08A12AC9-308F-4759-B9CC-F472FF7F0A2B}">
      <formula1>ListeConsommables</formula1>
    </dataValidation>
    <dataValidation type="list" allowBlank="1" showInputMessage="1" showErrorMessage="1" errorTitle="Ingrédient invalide" error="Veuillez sélectionner un ingrédient dans la liste." sqref="B17:B32" xr:uid="{BF3D45E0-FBC6-470D-94F4-849848EAE5E0}">
      <formula1>ListeIngredients</formula1>
    </dataValidation>
  </dataValidations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DFD3093-138C-4AC1-AC73-6ECB413DCD9B}">
          <x14:formula1>
            <xm:f>Listes!$C$2:$C$5</xm:f>
          </x14:formula1>
          <xm:sqref>I61:I63 I65:I72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8AADA-A1C8-46B8-9194-A17B1A1E9CE5}">
  <sheetPr>
    <pageSetUpPr fitToPage="1"/>
  </sheetPr>
  <dimension ref="B1:Q78"/>
  <sheetViews>
    <sheetView showGridLines="0" zoomScale="85" zoomScaleNormal="85" workbookViewId="0">
      <selection activeCell="C4" sqref="C4"/>
    </sheetView>
  </sheetViews>
  <sheetFormatPr baseColWidth="10" defaultColWidth="11.44140625" defaultRowHeight="12.55"/>
  <cols>
    <col min="1" max="1" width="1.44140625" style="251" customWidth="1"/>
    <col min="2" max="2" width="23.109375" style="251" customWidth="1"/>
    <col min="3" max="3" width="20" style="251" customWidth="1"/>
    <col min="4" max="4" width="19" style="251" customWidth="1"/>
    <col min="5" max="5" width="13.6640625" style="251" bestFit="1" customWidth="1"/>
    <col min="6" max="6" width="23.21875" style="251" customWidth="1"/>
    <col min="7" max="7" width="14.5546875" style="251" customWidth="1"/>
    <col min="8" max="8" width="14.109375" style="251" customWidth="1"/>
    <col min="9" max="9" width="17.33203125" style="251" customWidth="1"/>
    <col min="10" max="10" width="16.6640625" style="251" customWidth="1"/>
    <col min="11" max="11" width="12.109375" style="251" customWidth="1"/>
    <col min="12" max="16384" width="11.44140625" style="251"/>
  </cols>
  <sheetData>
    <row r="1" spans="2:11" ht="47.3" customHeight="1">
      <c r="B1" s="485" t="s">
        <v>37</v>
      </c>
      <c r="C1" s="486"/>
      <c r="D1" s="486"/>
      <c r="E1" s="486"/>
      <c r="F1" s="486"/>
      <c r="G1" s="486"/>
      <c r="H1" s="486"/>
      <c r="I1" s="486"/>
      <c r="J1" s="487"/>
      <c r="K1" s="488"/>
    </row>
    <row r="2" spans="2:11" ht="16.3" customHeight="1">
      <c r="B2" s="489" t="s">
        <v>39</v>
      </c>
      <c r="C2" s="490" t="s">
        <v>310</v>
      </c>
      <c r="D2" s="491"/>
      <c r="E2" s="492"/>
      <c r="F2" s="486"/>
      <c r="G2" s="486"/>
      <c r="H2" s="486"/>
      <c r="I2" s="486"/>
      <c r="J2" s="488"/>
      <c r="K2" s="488"/>
    </row>
    <row r="3" spans="2:11" ht="18.8" customHeight="1">
      <c r="B3" s="489" t="s">
        <v>23</v>
      </c>
      <c r="C3" s="490" t="s">
        <v>562</v>
      </c>
      <c r="D3" s="491"/>
      <c r="E3" s="492"/>
      <c r="F3" s="486"/>
      <c r="G3" s="486"/>
      <c r="H3" s="486"/>
      <c r="I3" s="486"/>
      <c r="J3" s="488"/>
      <c r="K3" s="488"/>
    </row>
    <row r="4" spans="2:11" ht="18.8" customHeight="1">
      <c r="B4" s="493"/>
      <c r="C4" s="486"/>
      <c r="D4" s="486"/>
      <c r="E4" s="488"/>
      <c r="F4" s="486"/>
      <c r="G4" s="486"/>
      <c r="H4" s="905" t="s">
        <v>306</v>
      </c>
      <c r="I4" s="905"/>
      <c r="J4" s="905"/>
      <c r="K4" s="488"/>
    </row>
    <row r="5" spans="2:11" ht="19.899999999999999" customHeight="1">
      <c r="B5" s="489" t="s">
        <v>284</v>
      </c>
      <c r="C5" s="494"/>
      <c r="D5" s="495">
        <v>50</v>
      </c>
      <c r="E5" s="496"/>
      <c r="F5" s="497"/>
      <c r="G5" s="498"/>
      <c r="H5" s="906" t="s">
        <v>285</v>
      </c>
      <c r="I5" s="896"/>
      <c r="J5" s="896"/>
      <c r="K5" s="488"/>
    </row>
    <row r="6" spans="2:11" ht="19.899999999999999" customHeight="1">
      <c r="B6" s="489" t="s">
        <v>286</v>
      </c>
      <c r="C6" s="494"/>
      <c r="D6" s="499">
        <v>0.2</v>
      </c>
      <c r="E6" s="496"/>
      <c r="F6" s="497"/>
      <c r="G6" s="498"/>
      <c r="H6" s="896"/>
      <c r="I6" s="896"/>
      <c r="J6" s="896"/>
      <c r="K6" s="488"/>
    </row>
    <row r="7" spans="2:11" ht="19.899999999999999" customHeight="1">
      <c r="B7" s="489" t="s">
        <v>35</v>
      </c>
      <c r="C7" s="494"/>
      <c r="D7" s="252">
        <f>D5/D6</f>
        <v>250</v>
      </c>
      <c r="E7" s="496"/>
      <c r="F7" s="497"/>
      <c r="G7" s="498"/>
      <c r="H7" s="896"/>
      <c r="I7" s="896"/>
      <c r="J7" s="896"/>
      <c r="K7" s="488"/>
    </row>
    <row r="8" spans="2:11" ht="19.899999999999999" customHeight="1">
      <c r="B8" s="489" t="s">
        <v>36</v>
      </c>
      <c r="C8" s="494"/>
      <c r="D8" s="499">
        <v>225</v>
      </c>
      <c r="E8" s="496"/>
      <c r="F8" s="497"/>
      <c r="G8" s="498"/>
      <c r="H8" s="896" t="s">
        <v>287</v>
      </c>
      <c r="I8" s="896"/>
      <c r="J8" s="896"/>
      <c r="K8" s="488"/>
    </row>
    <row r="9" spans="2:11" ht="19.899999999999999" customHeight="1">
      <c r="B9" s="489" t="s">
        <v>34</v>
      </c>
      <c r="C9" s="494"/>
      <c r="D9" s="10">
        <f>1-(D8/D7)</f>
        <v>9.9999999999999978E-2</v>
      </c>
      <c r="E9" s="496"/>
      <c r="F9" s="497"/>
      <c r="G9" s="498"/>
      <c r="H9" s="896" t="s">
        <v>288</v>
      </c>
      <c r="I9" s="896"/>
      <c r="J9" s="896"/>
      <c r="K9" s="488"/>
    </row>
    <row r="10" spans="2:11" ht="19.899999999999999" customHeight="1">
      <c r="B10" s="489" t="s">
        <v>25</v>
      </c>
      <c r="C10" s="494"/>
      <c r="D10" s="500">
        <v>4.0599999999999996</v>
      </c>
      <c r="E10" s="489" t="s">
        <v>32</v>
      </c>
      <c r="F10" s="501"/>
      <c r="G10" s="253">
        <f>G12/(1+G11)</f>
        <v>4.6698113207547172</v>
      </c>
      <c r="H10" s="896"/>
      <c r="I10" s="896"/>
      <c r="J10" s="896"/>
      <c r="K10" s="488"/>
    </row>
    <row r="11" spans="2:11" ht="19.899999999999999" customHeight="1">
      <c r="B11" s="489" t="s">
        <v>3</v>
      </c>
      <c r="C11" s="494"/>
      <c r="D11" s="502">
        <v>0.06</v>
      </c>
      <c r="E11" s="489" t="s">
        <v>3</v>
      </c>
      <c r="F11" s="501"/>
      <c r="G11" s="503">
        <v>0.06</v>
      </c>
      <c r="H11" s="896"/>
      <c r="I11" s="896"/>
      <c r="J11" s="896"/>
      <c r="K11" s="488"/>
    </row>
    <row r="12" spans="2:11" ht="19.899999999999999" customHeight="1">
      <c r="B12" s="489" t="s">
        <v>33</v>
      </c>
      <c r="C12" s="494"/>
      <c r="D12" s="254">
        <f>D10*(1+D11)</f>
        <v>4.3035999999999994</v>
      </c>
      <c r="E12" s="489" t="s">
        <v>24</v>
      </c>
      <c r="F12" s="501"/>
      <c r="G12" s="504">
        <v>4.95</v>
      </c>
      <c r="H12" s="896"/>
      <c r="I12" s="896"/>
      <c r="J12" s="896"/>
      <c r="K12" s="488"/>
    </row>
    <row r="13" spans="2:11" ht="19.899999999999999" customHeight="1">
      <c r="B13" s="489" t="s">
        <v>289</v>
      </c>
      <c r="C13" s="494"/>
      <c r="D13" s="10">
        <f>G10/D10-1</f>
        <v>0.15019983269820636</v>
      </c>
      <c r="E13" s="505"/>
      <c r="F13" s="505"/>
      <c r="G13" s="505"/>
      <c r="H13" s="896" t="s">
        <v>290</v>
      </c>
      <c r="I13" s="896"/>
      <c r="J13" s="896"/>
      <c r="K13" s="488"/>
    </row>
    <row r="14" spans="2:11" ht="18.8" customHeight="1">
      <c r="B14" s="505"/>
      <c r="C14" s="505"/>
      <c r="D14" s="505"/>
      <c r="E14" s="505"/>
      <c r="F14" s="505"/>
      <c r="G14" s="505"/>
      <c r="H14" s="505"/>
      <c r="I14" s="505"/>
      <c r="J14" s="488"/>
      <c r="K14" s="488"/>
    </row>
    <row r="15" spans="2:11" ht="6.75" customHeight="1" thickBot="1">
      <c r="B15" s="488"/>
      <c r="C15" s="488"/>
      <c r="D15" s="488"/>
      <c r="E15" s="488"/>
      <c r="F15" s="488"/>
      <c r="G15" s="488"/>
      <c r="H15" s="488"/>
      <c r="I15" s="488"/>
      <c r="J15" s="488"/>
      <c r="K15" s="488"/>
    </row>
    <row r="16" spans="2:11" s="255" customFormat="1" ht="45.1" customHeight="1">
      <c r="B16" s="506" t="s">
        <v>4</v>
      </c>
      <c r="C16" s="507" t="s">
        <v>5</v>
      </c>
      <c r="D16" s="508" t="s">
        <v>6</v>
      </c>
      <c r="E16" s="508" t="s">
        <v>7</v>
      </c>
      <c r="F16" s="508" t="s">
        <v>8</v>
      </c>
      <c r="G16" s="508" t="s">
        <v>300</v>
      </c>
      <c r="H16" s="509" t="s">
        <v>30</v>
      </c>
      <c r="I16" s="899" t="s">
        <v>22</v>
      </c>
      <c r="J16" s="899"/>
      <c r="K16" s="900"/>
    </row>
    <row r="17" spans="2:11" s="260" customFormat="1" ht="17.25" customHeight="1">
      <c r="B17" s="477" t="s">
        <v>14</v>
      </c>
      <c r="C17" s="256" t="str">
        <f>IF(ISBLANK(B17),"",_xlfn.XLOOKUP(B17,tblIngredients[Article],tblIngredients[Fournisseur],""))</f>
        <v>Auto</v>
      </c>
      <c r="D17" s="257" t="str">
        <f>IF(ISBLANK(B17),"",_xlfn.XLOOKUP(B17,tblIngredients[Article],tblIngredients[Unité conditionnement],""))</f>
        <v>1 kg</v>
      </c>
      <c r="E17" s="258">
        <f>IF(ISBLANK(B17),"",_xlfn.XLOOKUP(B17,tblIngredients[Article],tblIngredients[Coût d''achat HTVA  à l''unité],""))</f>
        <v>3.5</v>
      </c>
      <c r="F17" s="510">
        <v>50</v>
      </c>
      <c r="G17" s="259">
        <f>IF(OR(F17="",ISBLANK(F17)),"",E17*F17)</f>
        <v>175</v>
      </c>
      <c r="H17" s="11">
        <f>IF(OR(G17="",ISBLANK(G17)),"",G17/G$33)</f>
        <v>0.92115565556674106</v>
      </c>
      <c r="I17" s="511" t="s">
        <v>291</v>
      </c>
      <c r="J17" s="512"/>
      <c r="K17" s="513"/>
    </row>
    <row r="18" spans="2:11" s="260" customFormat="1" ht="17.25" customHeight="1">
      <c r="B18" s="477" t="s">
        <v>15</v>
      </c>
      <c r="C18" s="256" t="str">
        <f>IF(ISBLANK(B18),"",_xlfn.XLOOKUP(B18,tblIngredients[Article],tblIngredients[Fournisseur],""))</f>
        <v>Inbterbio</v>
      </c>
      <c r="D18" s="257" t="str">
        <f>IF(ISBLANK(B18),"",_xlfn.XLOOKUP(B18,tblIngredients[Article],tblIngredients[Unité conditionnement],""))</f>
        <v>1 kg</v>
      </c>
      <c r="E18" s="258">
        <f>IF(ISBLANK(B18),"",_xlfn.XLOOKUP(B18,tblIngredients[Article],tblIngredients[Coût d''achat HTVA  à l''unité],""))</f>
        <v>6</v>
      </c>
      <c r="F18" s="510">
        <v>0.5</v>
      </c>
      <c r="G18" s="259">
        <f t="shared" ref="G18:G32" si="0">IF(OR(F18="",ISBLANK(F18)),"",E18*F18)</f>
        <v>3</v>
      </c>
      <c r="H18" s="11">
        <f t="shared" ref="H18:H32" si="1">IF(OR(G18="",ISBLANK(G18)),"",G18/G$33)</f>
        <v>1.5791239809715561E-2</v>
      </c>
      <c r="I18" s="514"/>
      <c r="J18" s="512"/>
      <c r="K18" s="513"/>
    </row>
    <row r="19" spans="2:11" s="260" customFormat="1" ht="17.25" customHeight="1">
      <c r="B19" s="477" t="s">
        <v>16</v>
      </c>
      <c r="C19" s="256" t="str">
        <f>IF(ISBLANK(B19),"",_xlfn.XLOOKUP(B19,tblIngredients[Article],tblIngredients[Fournisseur],""))</f>
        <v>Interbio</v>
      </c>
      <c r="D19" s="257" t="str">
        <f>IF(ISBLANK(B19),"",_xlfn.XLOOKUP(B19,tblIngredients[Article],tblIngredients[Unité conditionnement],""))</f>
        <v>1 Botte</v>
      </c>
      <c r="E19" s="258">
        <f>IF(ISBLANK(B19),"",_xlfn.XLOOKUP(B19,tblIngredients[Article],tblIngredients[Coût d''achat HTVA  à l''unité],""))</f>
        <v>1.89</v>
      </c>
      <c r="F19" s="510">
        <v>4</v>
      </c>
      <c r="G19" s="259">
        <f t="shared" si="0"/>
        <v>7.56</v>
      </c>
      <c r="H19" s="11">
        <f t="shared" si="1"/>
        <v>3.9793924320483211E-2</v>
      </c>
      <c r="I19" s="514"/>
      <c r="J19" s="512"/>
      <c r="K19" s="513"/>
    </row>
    <row r="20" spans="2:11" s="260" customFormat="1" ht="17.25" customHeight="1">
      <c r="B20" s="477" t="s">
        <v>17</v>
      </c>
      <c r="C20" s="256" t="str">
        <f>IF(ISBLANK(B20),"",_xlfn.XLOOKUP(B20,tblIngredients[Article],tblIngredients[Fournisseur],""))</f>
        <v>Solucious</v>
      </c>
      <c r="D20" s="257" t="str">
        <f>IF(ISBLANK(B20),"",_xlfn.XLOOKUP(B20,tblIngredients[Article],tblIngredients[Unité conditionnement],""))</f>
        <v>1 L</v>
      </c>
      <c r="E20" s="258">
        <f>IF(ISBLANK(B20),"",_xlfn.XLOOKUP(B20,tblIngredients[Article],tblIngredients[Coût d''achat HTVA  à l''unité],""))</f>
        <v>17.649999999999999</v>
      </c>
      <c r="F20" s="510">
        <v>0.25</v>
      </c>
      <c r="G20" s="259">
        <f t="shared" si="0"/>
        <v>4.4124999999999996</v>
      </c>
      <c r="H20" s="11">
        <f t="shared" si="1"/>
        <v>2.3226281886789969E-2</v>
      </c>
      <c r="I20" s="514"/>
      <c r="J20" s="512"/>
      <c r="K20" s="513"/>
    </row>
    <row r="21" spans="2:11" s="260" customFormat="1" ht="17.25" customHeight="1">
      <c r="B21" s="477" t="s">
        <v>391</v>
      </c>
      <c r="C21" s="256" t="str">
        <f>IF(ISBLANK(B21),"",_xlfn.XLOOKUP(B21,tblIngredients[Article],tblIngredients[Fournisseur],""))</f>
        <v>Solucious</v>
      </c>
      <c r="D21" s="257" t="str">
        <f>IF(ISBLANK(B21),"",_xlfn.XLOOKUP(B21,tblIngredients[Article],tblIngredients[Unité conditionnement],""))</f>
        <v>1 Kg</v>
      </c>
      <c r="E21" s="258">
        <f>IF(ISBLANK(B21),"",_xlfn.XLOOKUP(B21,tblIngredients[Article],tblIngredients[Coût d''achat HTVA  à l''unité],""))</f>
        <v>6.25</v>
      </c>
      <c r="F21" s="510">
        <v>1E-3</v>
      </c>
      <c r="G21" s="259">
        <f t="shared" si="0"/>
        <v>6.2500000000000003E-3</v>
      </c>
      <c r="H21" s="11">
        <f t="shared" si="1"/>
        <v>3.2898416270240753E-5</v>
      </c>
      <c r="I21" s="514"/>
      <c r="J21" s="512"/>
      <c r="K21" s="513"/>
    </row>
    <row r="22" spans="2:11" s="260" customFormat="1" ht="17.25" customHeight="1">
      <c r="B22" s="477"/>
      <c r="C22" s="256" t="str">
        <f>IF(ISBLANK(B22),"",_xlfn.XLOOKUP(B22,tblIngredients[Article],tblIngredients[Fournisseur],""))</f>
        <v/>
      </c>
      <c r="D22" s="257" t="str">
        <f>IF(ISBLANK(B22),"",_xlfn.XLOOKUP(B22,tblIngredients[Article],tblIngredients[Unité conditionnement],""))</f>
        <v/>
      </c>
      <c r="E22" s="258" t="str">
        <f>IF(ISBLANK(B22),"",_xlfn.XLOOKUP(B22,tblIngredients[Article],tblIngredients[Coût d''achat HTVA  à l''unité],""))</f>
        <v/>
      </c>
      <c r="F22" s="510"/>
      <c r="G22" s="259" t="str">
        <f t="shared" si="0"/>
        <v/>
      </c>
      <c r="H22" s="11" t="str">
        <f t="shared" si="1"/>
        <v/>
      </c>
      <c r="I22" s="514"/>
      <c r="J22" s="512"/>
      <c r="K22" s="513"/>
    </row>
    <row r="23" spans="2:11" s="260" customFormat="1" ht="17.25" customHeight="1">
      <c r="B23" s="477"/>
      <c r="C23" s="256" t="str">
        <f>IF(ISBLANK(B23),"",_xlfn.XLOOKUP(B23,tblIngredients[Article],tblIngredients[Fournisseur],""))</f>
        <v/>
      </c>
      <c r="D23" s="257" t="str">
        <f>IF(ISBLANK(B23),"",_xlfn.XLOOKUP(B23,tblIngredients[Article],tblIngredients[Unité conditionnement],""))</f>
        <v/>
      </c>
      <c r="E23" s="258" t="str">
        <f>IF(ISBLANK(B23),"",_xlfn.XLOOKUP(B23,tblIngredients[Article],tblIngredients[Coût d''achat HTVA  à l''unité],""))</f>
        <v/>
      </c>
      <c r="F23" s="510"/>
      <c r="G23" s="259" t="str">
        <f t="shared" si="0"/>
        <v/>
      </c>
      <c r="H23" s="11" t="str">
        <f t="shared" si="1"/>
        <v/>
      </c>
      <c r="I23" s="514"/>
      <c r="J23" s="512"/>
      <c r="K23" s="513"/>
    </row>
    <row r="24" spans="2:11" s="260" customFormat="1" ht="17.25" customHeight="1">
      <c r="B24" s="477"/>
      <c r="C24" s="256" t="str">
        <f>IF(ISBLANK(B24),"",_xlfn.XLOOKUP(B24,tblIngredients[Article],tblIngredients[Fournisseur],""))</f>
        <v/>
      </c>
      <c r="D24" s="257" t="str">
        <f>IF(ISBLANK(B24),"",_xlfn.XLOOKUP(B24,tblIngredients[Article],tblIngredients[Unité conditionnement],""))</f>
        <v/>
      </c>
      <c r="E24" s="258" t="str">
        <f>IF(ISBLANK(B24),"",_xlfn.XLOOKUP(B24,tblIngredients[Article],tblIngredients[Coût d''achat HTVA  à l''unité],""))</f>
        <v/>
      </c>
      <c r="F24" s="510"/>
      <c r="G24" s="259" t="str">
        <f t="shared" si="0"/>
        <v/>
      </c>
      <c r="H24" s="11" t="str">
        <f t="shared" si="1"/>
        <v/>
      </c>
      <c r="I24" s="514"/>
      <c r="J24" s="512"/>
      <c r="K24" s="513"/>
    </row>
    <row r="25" spans="2:11" s="260" customFormat="1" ht="17.25" customHeight="1">
      <c r="B25" s="477"/>
      <c r="C25" s="256" t="str">
        <f>IF(ISBLANK(B25),"",_xlfn.XLOOKUP(B25,tblIngredients[Article],tblIngredients[Fournisseur],""))</f>
        <v/>
      </c>
      <c r="D25" s="257" t="str">
        <f>IF(ISBLANK(B25),"",_xlfn.XLOOKUP(B25,tblIngredients[Article],tblIngredients[Unité conditionnement],""))</f>
        <v/>
      </c>
      <c r="E25" s="258" t="str">
        <f>IF(ISBLANK(B25),"",_xlfn.XLOOKUP(B25,tblIngredients[Article],tblIngredients[Coût d''achat HTVA  à l''unité],""))</f>
        <v/>
      </c>
      <c r="F25" s="510"/>
      <c r="G25" s="259" t="str">
        <f t="shared" si="0"/>
        <v/>
      </c>
      <c r="H25" s="11" t="str">
        <f t="shared" si="1"/>
        <v/>
      </c>
      <c r="I25" s="514"/>
      <c r="J25" s="512"/>
      <c r="K25" s="513"/>
    </row>
    <row r="26" spans="2:11" s="260" customFormat="1" ht="17.25" customHeight="1">
      <c r="B26" s="477"/>
      <c r="C26" s="256" t="str">
        <f>IF(ISBLANK(B26),"",_xlfn.XLOOKUP(B26,tblIngredients[Article],tblIngredients[Fournisseur],""))</f>
        <v/>
      </c>
      <c r="D26" s="257" t="str">
        <f>IF(ISBLANK(B26),"",_xlfn.XLOOKUP(B26,tblIngredients[Article],tblIngredients[Unité conditionnement],""))</f>
        <v/>
      </c>
      <c r="E26" s="258" t="str">
        <f>IF(ISBLANK(B26),"",_xlfn.XLOOKUP(B26,tblIngredients[Article],tblIngredients[Coût d''achat HTVA  à l''unité],""))</f>
        <v/>
      </c>
      <c r="F26" s="510"/>
      <c r="G26" s="259" t="str">
        <f t="shared" si="0"/>
        <v/>
      </c>
      <c r="H26" s="11" t="str">
        <f t="shared" si="1"/>
        <v/>
      </c>
      <c r="I26" s="514"/>
      <c r="J26" s="512"/>
      <c r="K26" s="513"/>
    </row>
    <row r="27" spans="2:11" s="260" customFormat="1" ht="17.25" customHeight="1">
      <c r="B27" s="477"/>
      <c r="C27" s="256" t="str">
        <f>IF(ISBLANK(B27),"",_xlfn.XLOOKUP(B27,tblIngredients[Article],tblIngredients[Fournisseur],""))</f>
        <v/>
      </c>
      <c r="D27" s="257" t="str">
        <f>IF(ISBLANK(B27),"",_xlfn.XLOOKUP(B27,tblIngredients[Article],tblIngredients[Unité conditionnement],""))</f>
        <v/>
      </c>
      <c r="E27" s="258" t="str">
        <f>IF(ISBLANK(B27),"",_xlfn.XLOOKUP(B27,tblIngredients[Article],tblIngredients[Coût d''achat HTVA  à l''unité],""))</f>
        <v/>
      </c>
      <c r="F27" s="510"/>
      <c r="G27" s="259" t="str">
        <f t="shared" si="0"/>
        <v/>
      </c>
      <c r="H27" s="11" t="str">
        <f t="shared" si="1"/>
        <v/>
      </c>
      <c r="I27" s="514"/>
      <c r="J27" s="512"/>
      <c r="K27" s="513"/>
    </row>
    <row r="28" spans="2:11" s="260" customFormat="1" ht="17.25" customHeight="1">
      <c r="B28" s="477"/>
      <c r="C28" s="256"/>
      <c r="D28" s="257"/>
      <c r="E28" s="258"/>
      <c r="F28" s="510"/>
      <c r="G28" s="259"/>
      <c r="H28" s="11"/>
      <c r="I28" s="514"/>
      <c r="J28" s="512"/>
      <c r="K28" s="513"/>
    </row>
    <row r="29" spans="2:11" s="260" customFormat="1" ht="17.25" customHeight="1">
      <c r="B29" s="477"/>
      <c r="C29" s="256" t="str">
        <f>IF(ISBLANK(B29),"",_xlfn.XLOOKUP(B29,tblIngredients[Article],tblIngredients[Fournisseur],""))</f>
        <v/>
      </c>
      <c r="D29" s="257" t="str">
        <f>IF(ISBLANK(B29),"",_xlfn.XLOOKUP(B29,tblIngredients[Article],tblIngredients[Unité conditionnement],""))</f>
        <v/>
      </c>
      <c r="E29" s="258" t="str">
        <f>IF(ISBLANK(B29),"",_xlfn.XLOOKUP(B29,tblIngredients[Article],tblIngredients[Coût d''achat HTVA  à l''unité],""))</f>
        <v/>
      </c>
      <c r="F29" s="510"/>
      <c r="G29" s="259" t="str">
        <f t="shared" si="0"/>
        <v/>
      </c>
      <c r="H29" s="11" t="str">
        <f t="shared" si="1"/>
        <v/>
      </c>
      <c r="I29" s="514"/>
      <c r="J29" s="512"/>
      <c r="K29" s="513"/>
    </row>
    <row r="30" spans="2:11" s="260" customFormat="1" ht="17.25" customHeight="1">
      <c r="B30" s="477"/>
      <c r="C30" s="256" t="str">
        <f>IF(ISBLANK(B30),"",_xlfn.XLOOKUP(B30,tblIngredients[Article],tblIngredients[Fournisseur],""))</f>
        <v/>
      </c>
      <c r="D30" s="257" t="str">
        <f>IF(ISBLANK(B30),"",_xlfn.XLOOKUP(B30,tblIngredients[Article],tblIngredients[Unité conditionnement],""))</f>
        <v/>
      </c>
      <c r="E30" s="258" t="str">
        <f>IF(ISBLANK(B30),"",_xlfn.XLOOKUP(B30,tblIngredients[Article],tblIngredients[Coût d''achat HTVA  à l''unité],""))</f>
        <v/>
      </c>
      <c r="F30" s="510"/>
      <c r="G30" s="259" t="str">
        <f t="shared" si="0"/>
        <v/>
      </c>
      <c r="H30" s="11" t="str">
        <f t="shared" si="1"/>
        <v/>
      </c>
      <c r="I30" s="514"/>
      <c r="J30" s="512"/>
      <c r="K30" s="513"/>
    </row>
    <row r="31" spans="2:11" s="260" customFormat="1" ht="17.25" customHeight="1">
      <c r="B31" s="477"/>
      <c r="C31" s="256" t="str">
        <f>IF(ISBLANK(B31),"",_xlfn.XLOOKUP(B31,tblIngredients[Article],tblIngredients[Fournisseur],""))</f>
        <v/>
      </c>
      <c r="D31" s="257" t="str">
        <f>IF(ISBLANK(B31),"",_xlfn.XLOOKUP(B31,tblIngredients[Article],tblIngredients[Unité conditionnement],""))</f>
        <v/>
      </c>
      <c r="E31" s="258" t="str">
        <f>IF(ISBLANK(B31),"",_xlfn.XLOOKUP(B31,tblIngredients[Article],tblIngredients[Coût d''achat HTVA  à l''unité],""))</f>
        <v/>
      </c>
      <c r="F31" s="510"/>
      <c r="G31" s="259" t="str">
        <f t="shared" si="0"/>
        <v/>
      </c>
      <c r="H31" s="11" t="str">
        <f t="shared" si="1"/>
        <v/>
      </c>
      <c r="I31" s="514"/>
      <c r="J31" s="512"/>
      <c r="K31" s="513"/>
    </row>
    <row r="32" spans="2:11" s="260" customFormat="1" ht="17.25" customHeight="1">
      <c r="B32" s="477"/>
      <c r="C32" s="256" t="str">
        <f>IF(ISBLANK(B32),"",_xlfn.XLOOKUP(B32,tblIngredients[Article],tblIngredients[Fournisseur],""))</f>
        <v/>
      </c>
      <c r="D32" s="257" t="str">
        <f>IF(ISBLANK(B32),"",_xlfn.XLOOKUP(B32,tblIngredients[Article],tblIngredients[Unité conditionnement],""))</f>
        <v/>
      </c>
      <c r="E32" s="258" t="str">
        <f>IF(ISBLANK(B32),"",_xlfn.XLOOKUP(B32,tblIngredients[Article],tblIngredients[Coût d''achat HTVA  à l''unité],""))</f>
        <v/>
      </c>
      <c r="F32" s="510"/>
      <c r="G32" s="259" t="str">
        <f t="shared" si="0"/>
        <v/>
      </c>
      <c r="H32" s="11" t="str">
        <f t="shared" si="1"/>
        <v/>
      </c>
      <c r="I32" s="514"/>
      <c r="J32" s="512"/>
      <c r="K32" s="513"/>
    </row>
    <row r="33" spans="2:11" s="260" customFormat="1" ht="17.25" customHeight="1">
      <c r="B33" s="904" t="s">
        <v>29</v>
      </c>
      <c r="C33" s="904"/>
      <c r="D33" s="904"/>
      <c r="E33" s="904"/>
      <c r="F33" s="904"/>
      <c r="G33" s="261">
        <f>SUM(G17:G32)</f>
        <v>189.97874999999999</v>
      </c>
      <c r="H33" s="12">
        <f>IF(G33="","",G33/G$45)</f>
        <v>0.72032302138783477</v>
      </c>
      <c r="I33" s="262"/>
      <c r="J33" s="263"/>
      <c r="K33" s="264"/>
    </row>
    <row r="34" spans="2:11" s="260" customFormat="1" ht="17.25" customHeight="1">
      <c r="B34" s="477" t="s">
        <v>19</v>
      </c>
      <c r="C34" s="256" t="str">
        <f>IF(ISBLANK(B34),"",_xlfn.XLOOKUP(B34,tblConsommables[Article],tblConsommables[Fournisseur],""))</f>
        <v>Grossiste</v>
      </c>
      <c r="D34" s="257" t="str">
        <f>IF(ISBLANK(B34),"",_xlfn.XLOOKUP(B34,tblConsommables[Article],tblConsommables[Unité conditionnement],""))</f>
        <v>Unité</v>
      </c>
      <c r="E34" s="258">
        <f>IF(ISBLANK(B34),"",_xlfn.XLOOKUP(B34,tblConsommables[Article],tblConsommables[Coût d''achat HTVA  à l''unité],""))</f>
        <v>0.154</v>
      </c>
      <c r="F34" s="515">
        <v>230</v>
      </c>
      <c r="G34" s="265">
        <f>IF(OR(F34="",ISBLANK(F34)),"",E34*F34)</f>
        <v>35.42</v>
      </c>
      <c r="H34" s="13">
        <f>IF(OR(G34="",ISBLANK(G34)),"",G34/G$43)</f>
        <v>0.48988285410010646</v>
      </c>
      <c r="I34" s="514"/>
      <c r="J34" s="512"/>
      <c r="K34" s="516"/>
    </row>
    <row r="35" spans="2:11" s="260" customFormat="1" ht="17.25" customHeight="1">
      <c r="B35" s="477" t="s">
        <v>38</v>
      </c>
      <c r="C35" s="256" t="str">
        <f>IF(ISBLANK(B35),"",_xlfn.XLOOKUP(B35,tblConsommables[Article],tblConsommables[Fournisseur],""))</f>
        <v>Grossiste</v>
      </c>
      <c r="D35" s="257" t="str">
        <f>IF(ISBLANK(B35),"",_xlfn.XLOOKUP(B35,tblConsommables[Article],tblConsommables[Unité conditionnement],""))</f>
        <v>Unité</v>
      </c>
      <c r="E35" s="258">
        <f>IF(ISBLANK(B35),"",_xlfn.XLOOKUP(B35,tblConsommables[Article],tblConsommables[Coût d''achat HTVA  à l''unité],""))</f>
        <v>0.12</v>
      </c>
      <c r="F35" s="515">
        <v>250</v>
      </c>
      <c r="G35" s="265">
        <f t="shared" ref="G35:G42" si="2">IF(OR(F35="",ISBLANK(F35)),"",E35*F35)</f>
        <v>30</v>
      </c>
      <c r="H35" s="13">
        <f t="shared" ref="H35:H42" si="3">IF(OR(G35="",ISBLANK(G35)),"",G35/G$43)</f>
        <v>0.41492054271606982</v>
      </c>
      <c r="I35" s="514"/>
      <c r="J35" s="512"/>
      <c r="K35" s="516"/>
    </row>
    <row r="36" spans="2:11" s="260" customFormat="1" ht="17.25" customHeight="1">
      <c r="B36" s="477" t="s">
        <v>27</v>
      </c>
      <c r="C36" s="256" t="str">
        <f>IF(ISBLANK(B36),"",_xlfn.XLOOKUP(B36,tblConsommables[Article],tblConsommables[Fournisseur],""))</f>
        <v>Grossiste</v>
      </c>
      <c r="D36" s="257" t="str">
        <f>IF(ISBLANK(B36),"",_xlfn.XLOOKUP(B36,tblConsommables[Article],tblConsommables[Unité conditionnement],""))</f>
        <v>Rack de 1000</v>
      </c>
      <c r="E36" s="258">
        <f>IF(ISBLANK(B36),"",_xlfn.XLOOKUP(B36,tblConsommables[Article],tblConsommables[Coût d''achat HTVA  à l''unité],""))</f>
        <v>27.3</v>
      </c>
      <c r="F36" s="515">
        <v>0.25</v>
      </c>
      <c r="G36" s="265">
        <f t="shared" si="2"/>
        <v>6.8250000000000002</v>
      </c>
      <c r="H36" s="13">
        <f t="shared" si="3"/>
        <v>9.4394423467905886E-2</v>
      </c>
      <c r="I36" s="514"/>
      <c r="J36" s="512"/>
      <c r="K36" s="516"/>
    </row>
    <row r="37" spans="2:11" s="260" customFormat="1" ht="17.25" customHeight="1">
      <c r="B37" s="477" t="s">
        <v>402</v>
      </c>
      <c r="C37" s="256" t="str">
        <f>IF(ISBLANK(B37),"",_xlfn.XLOOKUP(B37,tblConsommables[Article],tblConsommables[Fournisseur],""))</f>
        <v>Grossiste</v>
      </c>
      <c r="D37" s="257" t="str">
        <f>IF(ISBLANK(B37),"",_xlfn.XLOOKUP(B37,tblConsommables[Article],tblConsommables[Unité conditionnement],""))</f>
        <v>Rack de 1000</v>
      </c>
      <c r="E37" s="258">
        <f>IF(ISBLANK(B37),"",_xlfn.XLOOKUP(B37,tblConsommables[Article],tblConsommables[Coût d''achat HTVA  à l''unité],""))</f>
        <v>58</v>
      </c>
      <c r="F37" s="515">
        <v>1E-3</v>
      </c>
      <c r="G37" s="265">
        <f t="shared" si="2"/>
        <v>5.8000000000000003E-2</v>
      </c>
      <c r="H37" s="13">
        <f t="shared" si="3"/>
        <v>8.0217971591773501E-4</v>
      </c>
      <c r="I37" s="514"/>
      <c r="J37" s="512"/>
      <c r="K37" s="516"/>
    </row>
    <row r="38" spans="2:11" s="260" customFormat="1" ht="17.25" customHeight="1">
      <c r="B38" s="477"/>
      <c r="C38" s="256" t="str">
        <f>IF(ISBLANK(B38),"",_xlfn.XLOOKUP(B38,tblConsommables[Article],tblConsommables[Fournisseur],""))</f>
        <v/>
      </c>
      <c r="D38" s="257" t="str">
        <f>IF(ISBLANK(B38),"",_xlfn.XLOOKUP(B38,tblConsommables[Article],tblConsommables[Unité conditionnement],""))</f>
        <v/>
      </c>
      <c r="E38" s="258" t="str">
        <f>IF(ISBLANK(B38),"",_xlfn.XLOOKUP(B38,tblConsommables[Article],tblConsommables[Coût d''achat HTVA  à l''unité],""))</f>
        <v/>
      </c>
      <c r="F38" s="515"/>
      <c r="G38" s="265" t="str">
        <f t="shared" si="2"/>
        <v/>
      </c>
      <c r="H38" s="13" t="str">
        <f t="shared" si="3"/>
        <v/>
      </c>
      <c r="I38" s="514"/>
      <c r="J38" s="512"/>
      <c r="K38" s="516"/>
    </row>
    <row r="39" spans="2:11" s="260" customFormat="1" ht="17.25" customHeight="1">
      <c r="B39" s="477"/>
      <c r="C39" s="256" t="str">
        <f>IF(ISBLANK(B39),"",_xlfn.XLOOKUP(B39,tblConsommables[Article],tblConsommables[Fournisseur],""))</f>
        <v/>
      </c>
      <c r="D39" s="257" t="str">
        <f>IF(ISBLANK(B39),"",_xlfn.XLOOKUP(B39,tblConsommables[Article],tblConsommables[Unité conditionnement],""))</f>
        <v/>
      </c>
      <c r="E39" s="258" t="str">
        <f>IF(ISBLANK(B39),"",_xlfn.XLOOKUP(B39,tblConsommables[Article],tblConsommables[Coût d''achat HTVA  à l''unité],""))</f>
        <v/>
      </c>
      <c r="F39" s="515"/>
      <c r="G39" s="265" t="str">
        <f t="shared" si="2"/>
        <v/>
      </c>
      <c r="H39" s="13" t="str">
        <f t="shared" si="3"/>
        <v/>
      </c>
      <c r="I39" s="514"/>
      <c r="J39" s="512"/>
      <c r="K39" s="516"/>
    </row>
    <row r="40" spans="2:11" s="260" customFormat="1" ht="17.25" customHeight="1">
      <c r="B40" s="477"/>
      <c r="C40" s="256" t="str">
        <f>IF(ISBLANK(B40),"",_xlfn.XLOOKUP(B40,tblConsommables[Article],tblConsommables[Fournisseur],""))</f>
        <v/>
      </c>
      <c r="D40" s="257" t="str">
        <f>IF(ISBLANK(B40),"",_xlfn.XLOOKUP(B40,tblConsommables[Article],tblConsommables[Unité conditionnement],""))</f>
        <v/>
      </c>
      <c r="E40" s="258" t="str">
        <f>IF(ISBLANK(B40),"",_xlfn.XLOOKUP(B40,tblConsommables[Article],tblConsommables[Coût d''achat HTVA  à l''unité],""))</f>
        <v/>
      </c>
      <c r="F40" s="515"/>
      <c r="G40" s="265" t="str">
        <f t="shared" si="2"/>
        <v/>
      </c>
      <c r="H40" s="13" t="str">
        <f t="shared" si="3"/>
        <v/>
      </c>
      <c r="I40" s="514"/>
      <c r="J40" s="512"/>
      <c r="K40" s="516"/>
    </row>
    <row r="41" spans="2:11" s="260" customFormat="1" ht="17.25" customHeight="1">
      <c r="B41" s="477"/>
      <c r="C41" s="256" t="str">
        <f>IF(ISBLANK(B41),"",_xlfn.XLOOKUP(B41,tblConsommables[Article],tblConsommables[Fournisseur],""))</f>
        <v/>
      </c>
      <c r="D41" s="257" t="str">
        <f>IF(ISBLANK(B41),"",_xlfn.XLOOKUP(B41,tblConsommables[Article],tblConsommables[Unité conditionnement],""))</f>
        <v/>
      </c>
      <c r="E41" s="258" t="str">
        <f>IF(ISBLANK(B41),"",_xlfn.XLOOKUP(B41,tblConsommables[Article],tblConsommables[Coût d''achat HTVA  à l''unité],""))</f>
        <v/>
      </c>
      <c r="F41" s="515"/>
      <c r="G41" s="265" t="str">
        <f t="shared" si="2"/>
        <v/>
      </c>
      <c r="H41" s="13" t="str">
        <f t="shared" si="3"/>
        <v/>
      </c>
      <c r="I41" s="514"/>
      <c r="J41" s="512"/>
      <c r="K41" s="516"/>
    </row>
    <row r="42" spans="2:11" s="260" customFormat="1" ht="17.25" customHeight="1" thickBot="1">
      <c r="B42" s="477"/>
      <c r="C42" s="256" t="str">
        <f>IF(ISBLANK(B42),"",_xlfn.XLOOKUP(B42,tblConsommables[Article],tblConsommables[Fournisseur],""))</f>
        <v/>
      </c>
      <c r="D42" s="257" t="str">
        <f>IF(ISBLANK(B42),"",_xlfn.XLOOKUP(B42,tblConsommables[Article],tblConsommables[Unité conditionnement],""))</f>
        <v/>
      </c>
      <c r="E42" s="258" t="str">
        <f>IF(ISBLANK(B42),"",_xlfn.XLOOKUP(B42,tblConsommables[Article],tblConsommables[Coût d''achat HTVA  à l''unité],""))</f>
        <v/>
      </c>
      <c r="F42" s="517"/>
      <c r="G42" s="265" t="str">
        <f t="shared" si="2"/>
        <v/>
      </c>
      <c r="H42" s="13" t="str">
        <f t="shared" si="3"/>
        <v/>
      </c>
      <c r="I42" s="514"/>
      <c r="J42" s="512"/>
      <c r="K42" s="516"/>
    </row>
    <row r="43" spans="2:11" s="260" customFormat="1" ht="17.25" customHeight="1" thickBot="1">
      <c r="B43" s="897" t="s">
        <v>31</v>
      </c>
      <c r="C43" s="898"/>
      <c r="D43" s="898"/>
      <c r="E43" s="898"/>
      <c r="F43" s="898"/>
      <c r="G43" s="266">
        <f>SUM(G34:G42)</f>
        <v>72.303000000000011</v>
      </c>
      <c r="H43" s="14">
        <f>IF(G43="","",G43/G$45)</f>
        <v>0.27414389985935073</v>
      </c>
      <c r="I43" s="267"/>
      <c r="J43" s="267"/>
      <c r="K43" s="267"/>
    </row>
    <row r="44" spans="2:11" s="260" customFormat="1" ht="17.25" customHeight="1">
      <c r="B44" s="897" t="s">
        <v>180</v>
      </c>
      <c r="C44" s="898"/>
      <c r="D44" s="898"/>
      <c r="E44" s="898"/>
      <c r="F44" s="898"/>
      <c r="G44" s="268">
        <f>J73</f>
        <v>1.4593</v>
      </c>
      <c r="H44" s="14">
        <f>IF(G44="","",G44/G$45)</f>
        <v>5.5330787528145515E-3</v>
      </c>
      <c r="I44" s="269"/>
      <c r="J44" s="267"/>
      <c r="K44" s="267"/>
    </row>
    <row r="45" spans="2:11" s="260" customFormat="1" ht="17.25" customHeight="1">
      <c r="B45" s="518" t="s">
        <v>292</v>
      </c>
      <c r="C45" s="519"/>
      <c r="D45" s="519"/>
      <c r="E45" s="519"/>
      <c r="F45" s="520"/>
      <c r="G45" s="270">
        <f>SUM(G33,G43,G44)</f>
        <v>263.74104999999997</v>
      </c>
      <c r="H45" s="15">
        <f>IF(G45="","",G45/G$45)</f>
        <v>1</v>
      </c>
      <c r="I45" s="521"/>
      <c r="J45" s="521"/>
      <c r="K45" s="521"/>
    </row>
    <row r="46" spans="2:11" s="260" customFormat="1" ht="17.25" customHeight="1">
      <c r="B46" s="489" t="s">
        <v>293</v>
      </c>
      <c r="C46" s="522"/>
      <c r="D46" s="522"/>
      <c r="E46" s="522"/>
      <c r="F46" s="523"/>
      <c r="G46" s="270">
        <f>G45/D8</f>
        <v>1.1721824444444444</v>
      </c>
      <c r="H46" s="524"/>
      <c r="I46" s="521"/>
      <c r="J46" s="521"/>
      <c r="K46" s="521"/>
    </row>
    <row r="47" spans="2:11" s="260" customFormat="1" ht="17.25" customHeight="1">
      <c r="B47" s="521"/>
      <c r="C47" s="521"/>
      <c r="D47" s="521"/>
      <c r="E47" s="521"/>
      <c r="F47" s="521"/>
      <c r="G47" s="521"/>
      <c r="H47" s="525"/>
      <c r="I47" s="521"/>
      <c r="J47" s="521"/>
      <c r="K47" s="521"/>
    </row>
    <row r="48" spans="2:11" s="260" customFormat="1" ht="17.25" customHeight="1">
      <c r="B48" s="901" t="s">
        <v>294</v>
      </c>
      <c r="C48" s="902"/>
      <c r="D48" s="902"/>
      <c r="E48" s="902"/>
      <c r="F48" s="902"/>
      <c r="G48" s="903"/>
      <c r="H48" s="526"/>
      <c r="I48" s="901" t="s">
        <v>26</v>
      </c>
      <c r="J48" s="902"/>
      <c r="K48" s="903"/>
    </row>
    <row r="49" spans="2:17" s="260" customFormat="1" ht="17.25" customHeight="1">
      <c r="B49" s="489" t="s">
        <v>295</v>
      </c>
      <c r="C49" s="527"/>
      <c r="D49" s="527"/>
      <c r="E49" s="528"/>
      <c r="F49" s="529"/>
      <c r="G49" s="271">
        <f>D10</f>
        <v>4.0599999999999996</v>
      </c>
      <c r="H49" s="530"/>
      <c r="I49" s="489" t="s">
        <v>9</v>
      </c>
      <c r="J49" s="523"/>
      <c r="K49" s="271">
        <f>G10</f>
        <v>4.6698113207547172</v>
      </c>
    </row>
    <row r="50" spans="2:17" s="260" customFormat="1" ht="17.25" customHeight="1">
      <c r="B50" s="489" t="s">
        <v>296</v>
      </c>
      <c r="C50" s="527"/>
      <c r="D50" s="527"/>
      <c r="E50" s="522"/>
      <c r="F50" s="531"/>
      <c r="G50" s="272">
        <f>G49-G46</f>
        <v>2.8878175555555554</v>
      </c>
      <c r="H50" s="532"/>
      <c r="I50" s="489" t="s">
        <v>10</v>
      </c>
      <c r="J50" s="523"/>
      <c r="K50" s="272">
        <f>K49-G46</f>
        <v>3.497628876310273</v>
      </c>
    </row>
    <row r="51" spans="2:17" s="260" customFormat="1" ht="17.25" customHeight="1">
      <c r="B51" s="489" t="s">
        <v>410</v>
      </c>
      <c r="C51" s="527"/>
      <c r="D51" s="527"/>
      <c r="E51" s="522"/>
      <c r="F51" s="529"/>
      <c r="G51" s="272">
        <f>G50*$D8</f>
        <v>649.75894999999991</v>
      </c>
      <c r="H51" s="532"/>
      <c r="I51" s="489" t="s">
        <v>410</v>
      </c>
      <c r="J51" s="523"/>
      <c r="K51" s="272">
        <f>K50*$D8</f>
        <v>786.96649716981142</v>
      </c>
    </row>
    <row r="52" spans="2:17" s="260" customFormat="1" ht="17.25" customHeight="1">
      <c r="B52" s="489" t="s">
        <v>411</v>
      </c>
      <c r="C52" s="527"/>
      <c r="D52" s="527"/>
      <c r="E52" s="522"/>
      <c r="F52" s="529"/>
      <c r="G52" s="272">
        <f>G51/($C73*(1/60))</f>
        <v>135.36644791666666</v>
      </c>
      <c r="H52" s="532"/>
      <c r="I52" s="489" t="s">
        <v>411</v>
      </c>
      <c r="J52" s="523"/>
      <c r="K52" s="272">
        <f>K51/($C73*(1/60))</f>
        <v>163.95135357704405</v>
      </c>
    </row>
    <row r="53" spans="2:17" s="260" customFormat="1" ht="17.25" customHeight="1">
      <c r="B53" s="489" t="s">
        <v>297</v>
      </c>
      <c r="C53" s="527"/>
      <c r="D53" s="527"/>
      <c r="E53" s="522"/>
      <c r="F53" s="529"/>
      <c r="G53" s="16">
        <f>G50/$G$46</f>
        <v>2.4636246424286243</v>
      </c>
      <c r="H53" s="533"/>
      <c r="I53" s="489" t="s">
        <v>11</v>
      </c>
      <c r="J53" s="523"/>
      <c r="K53" s="16">
        <f>K50/$G$46</f>
        <v>2.9838604842507888</v>
      </c>
    </row>
    <row r="54" spans="2:17" s="260" customFormat="1" ht="17.25" customHeight="1" thickBot="1">
      <c r="B54" s="489" t="s">
        <v>12</v>
      </c>
      <c r="C54" s="527"/>
      <c r="D54" s="527"/>
      <c r="E54" s="522"/>
      <c r="F54" s="529"/>
      <c r="G54" s="273">
        <f>G49/$G$46</f>
        <v>3.4636246424286243</v>
      </c>
      <c r="H54" s="530"/>
      <c r="I54" s="489" t="s">
        <v>12</v>
      </c>
      <c r="J54" s="523"/>
      <c r="K54" s="273">
        <f>K49/$G$46</f>
        <v>3.9838604842507883</v>
      </c>
    </row>
    <row r="55" spans="2:17" ht="14.4">
      <c r="B55" s="489" t="s">
        <v>13</v>
      </c>
      <c r="C55" s="527"/>
      <c r="D55" s="527"/>
      <c r="E55" s="534"/>
      <c r="F55" s="535"/>
      <c r="G55" s="17">
        <f>G46/G49</f>
        <v>0.28871488779419818</v>
      </c>
      <c r="H55" s="488"/>
      <c r="I55" s="489" t="s">
        <v>13</v>
      </c>
      <c r="J55" s="523"/>
      <c r="K55" s="17">
        <f>G46/K49</f>
        <v>0.25101280628507294</v>
      </c>
      <c r="L55" s="260"/>
      <c r="M55" s="260"/>
      <c r="N55" s="260"/>
      <c r="O55" s="260"/>
      <c r="P55" s="260"/>
      <c r="Q55" s="260"/>
    </row>
    <row r="56" spans="2:17" ht="15.05" thickBot="1">
      <c r="B56" s="489" t="s">
        <v>403</v>
      </c>
      <c r="C56" s="488"/>
      <c r="D56" s="488"/>
      <c r="E56" s="488"/>
      <c r="F56" s="536"/>
      <c r="G56" s="274">
        <f ca="1">'4. CHARGES FIXES'!J18/(1-G55)</f>
        <v>73050.390517344262</v>
      </c>
      <c r="H56" s="488"/>
      <c r="I56" s="489" t="s">
        <v>405</v>
      </c>
      <c r="J56" s="488"/>
      <c r="K56" s="274">
        <f ca="1">'4. CHARGES FIXES'!J18/(1-K55)</f>
        <v>69373.222468718581</v>
      </c>
      <c r="L56" s="260"/>
      <c r="M56" s="260"/>
      <c r="N56" s="260"/>
      <c r="O56" s="260"/>
      <c r="P56" s="260"/>
      <c r="Q56" s="260"/>
    </row>
    <row r="57" spans="2:17" ht="15.05" thickBot="1">
      <c r="B57" s="537" t="s">
        <v>404</v>
      </c>
      <c r="C57" s="488"/>
      <c r="D57" s="488"/>
      <c r="E57" s="488"/>
      <c r="F57" s="536"/>
      <c r="G57" s="275">
        <f ca="1">G56/G49</f>
        <v>17992.707023976422</v>
      </c>
      <c r="H57" s="488"/>
      <c r="I57" s="489" t="s">
        <v>406</v>
      </c>
      <c r="J57" s="488"/>
      <c r="K57" s="275">
        <f ca="1">K56/K49</f>
        <v>14855.679962998322</v>
      </c>
      <c r="L57" s="260"/>
      <c r="M57" s="260"/>
      <c r="N57" s="260"/>
      <c r="O57" s="260"/>
      <c r="P57" s="260"/>
      <c r="Q57" s="260"/>
    </row>
    <row r="58" spans="2:17" ht="15.05" thickBot="1">
      <c r="B58" s="488"/>
      <c r="C58" s="488"/>
      <c r="D58" s="488"/>
      <c r="E58" s="488"/>
      <c r="F58" s="536"/>
      <c r="G58" s="488"/>
      <c r="H58" s="488"/>
      <c r="I58" s="488"/>
      <c r="J58" s="488"/>
      <c r="K58" s="521"/>
      <c r="L58" s="260"/>
      <c r="M58" s="260"/>
      <c r="N58" s="260"/>
      <c r="O58" s="260"/>
      <c r="P58" s="260"/>
      <c r="Q58" s="260"/>
    </row>
    <row r="59" spans="2:17" ht="13.15">
      <c r="B59" s="907" t="s">
        <v>298</v>
      </c>
      <c r="C59" s="908"/>
      <c r="D59" s="908"/>
      <c r="E59" s="908"/>
      <c r="F59" s="908"/>
      <c r="G59" s="908"/>
      <c r="H59" s="908"/>
      <c r="I59" s="908"/>
      <c r="J59" s="909"/>
      <c r="K59" s="521"/>
      <c r="L59" s="260"/>
      <c r="M59" s="260"/>
      <c r="N59" s="260"/>
      <c r="O59" s="260"/>
      <c r="P59" s="260"/>
      <c r="Q59" s="260"/>
    </row>
    <row r="60" spans="2:17" ht="13.15">
      <c r="B60" s="538" t="s">
        <v>41</v>
      </c>
      <c r="C60" s="538" t="s">
        <v>299</v>
      </c>
      <c r="D60" s="538" t="s">
        <v>168</v>
      </c>
      <c r="E60" s="538" t="s">
        <v>301</v>
      </c>
      <c r="F60" s="538" t="s">
        <v>169</v>
      </c>
      <c r="G60" s="538" t="s">
        <v>172</v>
      </c>
      <c r="H60" s="538" t="s">
        <v>170</v>
      </c>
      <c r="I60" s="538" t="s">
        <v>174</v>
      </c>
      <c r="J60" s="538" t="s">
        <v>179</v>
      </c>
      <c r="K60" s="488"/>
    </row>
    <row r="61" spans="2:17" ht="13.15">
      <c r="B61" s="539" t="s">
        <v>46</v>
      </c>
      <c r="C61" s="540">
        <v>20</v>
      </c>
      <c r="D61" s="540">
        <v>0</v>
      </c>
      <c r="E61" s="276">
        <f>C61+D61</f>
        <v>20</v>
      </c>
      <c r="F61" s="540"/>
      <c r="G61" s="540"/>
      <c r="H61" s="276">
        <f t="shared" ref="H61:H62" si="4">G61*D61/60</f>
        <v>0</v>
      </c>
      <c r="I61" s="541"/>
      <c r="J61" s="277" cm="1">
        <f t="array" ref="J61">_xlfn.IFS(I61=Listes!$C$2,'1. DONNEES DE BASE'!$B$2*H61,'FT_PROD (5)'!I61=Listes!$C$3,'1. DONNEES DE BASE'!$B$3*'FT_PROD (5)'!H61,TRUE,0)</f>
        <v>0</v>
      </c>
      <c r="K61" s="488"/>
    </row>
    <row r="62" spans="2:17" ht="13.15">
      <c r="B62" s="539" t="s">
        <v>45</v>
      </c>
      <c r="C62" s="540">
        <v>120</v>
      </c>
      <c r="D62" s="540">
        <v>0</v>
      </c>
      <c r="E62" s="276">
        <f t="shared" ref="E62:E72" si="5">C62+D62</f>
        <v>120</v>
      </c>
      <c r="F62" s="540"/>
      <c r="G62" s="540"/>
      <c r="H62" s="276">
        <f t="shared" si="4"/>
        <v>0</v>
      </c>
      <c r="I62" s="541"/>
      <c r="J62" s="277" cm="1">
        <f t="array" ref="J62">_xlfn.IFS(I62=Listes!$C$2,'1. DONNEES DE BASE'!$B$2*H62,'FT_PROD (5)'!I62=Listes!$C$3,'1. DONNEES DE BASE'!$B$3*'FT_PROD (5)'!H62,TRUE,0)</f>
        <v>0</v>
      </c>
      <c r="K62" s="488"/>
    </row>
    <row r="63" spans="2:17" ht="13.15">
      <c r="B63" s="539" t="s">
        <v>42</v>
      </c>
      <c r="C63" s="540">
        <v>10</v>
      </c>
      <c r="D63" s="542">
        <v>120</v>
      </c>
      <c r="E63" s="276">
        <f t="shared" si="5"/>
        <v>130</v>
      </c>
      <c r="F63" s="540" t="s">
        <v>173</v>
      </c>
      <c r="G63" s="540">
        <v>3</v>
      </c>
      <c r="H63" s="276">
        <f>G63*D63/60</f>
        <v>6</v>
      </c>
      <c r="I63" s="541" t="s">
        <v>175</v>
      </c>
      <c r="J63" s="277" cm="1">
        <f t="array" ref="J63">_xlfn.IFS(I63=Listes!$C$2,'1. DONNEES DE BASE'!$B$2*H63,'FT_PROD (5)'!I63=Listes!$C$3,'1. DONNEES DE BASE'!$B$3*'FT_PROD (5)'!H63,TRUE,0)</f>
        <v>0.48180000000000001</v>
      </c>
      <c r="K63" s="488"/>
    </row>
    <row r="64" spans="2:17" ht="13.15">
      <c r="B64" s="539" t="s">
        <v>43</v>
      </c>
      <c r="C64" s="540">
        <v>3</v>
      </c>
      <c r="D64" s="540">
        <v>0</v>
      </c>
      <c r="E64" s="276">
        <f t="shared" si="5"/>
        <v>3</v>
      </c>
      <c r="F64" s="540"/>
      <c r="G64" s="540"/>
      <c r="H64" s="276">
        <f t="shared" ref="H64:H72" si="6">G64*D64/60</f>
        <v>0</v>
      </c>
      <c r="I64" s="541"/>
      <c r="J64" s="277" cm="1">
        <f t="array" ref="J64">_xlfn.IFS(I64=Listes!$C$2,'1. DONNEES DE BASE'!$B$2*H64,'FT_PROD (5)'!I64=Listes!$C$3,'1. DONNEES DE BASE'!$B$3*'FT_PROD (5)'!H64,TRUE,0)</f>
        <v>0</v>
      </c>
      <c r="K64" s="488"/>
    </row>
    <row r="65" spans="2:11" ht="13.15">
      <c r="B65" s="539" t="s">
        <v>44</v>
      </c>
      <c r="C65" s="540">
        <v>15</v>
      </c>
      <c r="D65" s="542">
        <v>120</v>
      </c>
      <c r="E65" s="276">
        <f t="shared" si="5"/>
        <v>135</v>
      </c>
      <c r="F65" s="540"/>
      <c r="G65" s="540">
        <v>2</v>
      </c>
      <c r="H65" s="276">
        <f t="shared" si="6"/>
        <v>4</v>
      </c>
      <c r="I65" s="541" t="s">
        <v>176</v>
      </c>
      <c r="J65" s="277" cm="1">
        <f t="array" ref="J65">_xlfn.IFS(I65=Listes!$C$2,'1. DONNEES DE BASE'!$B$2*H65,'FT_PROD (5)'!I65=Listes!$C$3,'1. DONNEES DE BASE'!$B$3*'FT_PROD (5)'!H65,TRUE,0)</f>
        <v>0.8</v>
      </c>
      <c r="K65" s="488"/>
    </row>
    <row r="66" spans="2:11" ht="13.15">
      <c r="B66" s="539" t="s">
        <v>27</v>
      </c>
      <c r="C66" s="540">
        <v>120</v>
      </c>
      <c r="D66" s="540">
        <v>0</v>
      </c>
      <c r="E66" s="276">
        <f t="shared" si="5"/>
        <v>120</v>
      </c>
      <c r="F66" s="540"/>
      <c r="G66" s="540"/>
      <c r="H66" s="276">
        <f t="shared" si="6"/>
        <v>0</v>
      </c>
      <c r="I66" s="541"/>
      <c r="J66" s="277" cm="1">
        <f t="array" ref="J66">_xlfn.IFS(I66=Listes!$C$2,'1. DONNEES DE BASE'!$B$2*H66,'FT_PROD (5)'!I66=Listes!$C$3,'1. DONNEES DE BASE'!$B$3*'FT_PROD (5)'!H66,TRUE,0)</f>
        <v>0</v>
      </c>
      <c r="K66" s="488"/>
    </row>
    <row r="67" spans="2:11" ht="13.15">
      <c r="B67" s="543" t="s">
        <v>167</v>
      </c>
      <c r="C67" s="540">
        <v>0</v>
      </c>
      <c r="D67" s="540">
        <v>0</v>
      </c>
      <c r="E67" s="276">
        <f t="shared" si="5"/>
        <v>0</v>
      </c>
      <c r="F67" s="540"/>
      <c r="G67" s="540"/>
      <c r="H67" s="276">
        <f t="shared" si="6"/>
        <v>0</v>
      </c>
      <c r="I67" s="541"/>
      <c r="J67" s="277" cm="1">
        <f t="array" ref="J67">_xlfn.IFS(I67=Listes!$C$2,'1. DONNEES DE BASE'!$B$2*H67,'FT_PROD (5)'!I67=Listes!$C$3,'1. DONNEES DE BASE'!$B$3*'FT_PROD (5)'!H67,TRUE,0)</f>
        <v>0</v>
      </c>
      <c r="K67" s="488"/>
    </row>
    <row r="68" spans="2:11" ht="13.15">
      <c r="B68" s="543" t="s">
        <v>48</v>
      </c>
      <c r="C68" s="540">
        <v>0</v>
      </c>
      <c r="D68" s="540">
        <v>15</v>
      </c>
      <c r="E68" s="276">
        <f t="shared" si="5"/>
        <v>15</v>
      </c>
      <c r="F68" s="540" t="s">
        <v>171</v>
      </c>
      <c r="G68" s="540">
        <v>3.55</v>
      </c>
      <c r="H68" s="276">
        <f t="shared" si="6"/>
        <v>0.88749999999999996</v>
      </c>
      <c r="I68" s="541" t="s">
        <v>176</v>
      </c>
      <c r="J68" s="277" cm="1">
        <f t="array" ref="J68">_xlfn.IFS(I68=Listes!$C$2,'1. DONNEES DE BASE'!$B$2*H68,'FT_PROD (5)'!I68=Listes!$C$3,'1. DONNEES DE BASE'!$B$3*'FT_PROD (5)'!H68,TRUE,0)</f>
        <v>0.17749999999999999</v>
      </c>
      <c r="K68" s="488"/>
    </row>
    <row r="69" spans="2:11" ht="13.15">
      <c r="B69" s="543" t="s">
        <v>302</v>
      </c>
      <c r="C69" s="540">
        <v>0</v>
      </c>
      <c r="D69" s="540">
        <v>0</v>
      </c>
      <c r="E69" s="276">
        <f t="shared" si="5"/>
        <v>0</v>
      </c>
      <c r="F69" s="540"/>
      <c r="G69" s="540"/>
      <c r="H69" s="276">
        <f t="shared" si="6"/>
        <v>0</v>
      </c>
      <c r="I69" s="541"/>
      <c r="J69" s="277" cm="1">
        <f t="array" ref="J69">_xlfn.IFS(I69=Listes!$C$2,'1. DONNEES DE BASE'!$B$2*H69,'FT_PROD (5)'!I69=Listes!$C$3,'1. DONNEES DE BASE'!$B$3*'FT_PROD (5)'!H69,TRUE,0)</f>
        <v>0</v>
      </c>
      <c r="K69" s="488"/>
    </row>
    <row r="70" spans="2:11" ht="13.15">
      <c r="B70" s="543" t="s">
        <v>303</v>
      </c>
      <c r="C70" s="540">
        <v>0</v>
      </c>
      <c r="D70" s="540">
        <v>0</v>
      </c>
      <c r="E70" s="276">
        <f t="shared" si="5"/>
        <v>0</v>
      </c>
      <c r="F70" s="540"/>
      <c r="G70" s="540"/>
      <c r="H70" s="276">
        <f t="shared" si="6"/>
        <v>0</v>
      </c>
      <c r="I70" s="541"/>
      <c r="J70" s="277" cm="1">
        <f t="array" ref="J70">_xlfn.IFS(I70=Listes!$C$2,'1. DONNEES DE BASE'!$B$2*H70,'FT_PROD (5)'!I70=Listes!$C$3,'1. DONNEES DE BASE'!$B$3*'FT_PROD (5)'!H70,TRUE,0)</f>
        <v>0</v>
      </c>
      <c r="K70" s="488"/>
    </row>
    <row r="71" spans="2:11" ht="13.15">
      <c r="B71" s="543" t="s">
        <v>304</v>
      </c>
      <c r="C71" s="540">
        <v>0</v>
      </c>
      <c r="D71" s="540">
        <v>0</v>
      </c>
      <c r="E71" s="276">
        <f t="shared" si="5"/>
        <v>0</v>
      </c>
      <c r="F71" s="540"/>
      <c r="G71" s="540"/>
      <c r="H71" s="276">
        <f t="shared" si="6"/>
        <v>0</v>
      </c>
      <c r="I71" s="541"/>
      <c r="J71" s="277" cm="1">
        <f t="array" ref="J71">_xlfn.IFS(I71=Listes!$C$2,'1. DONNEES DE BASE'!$B$2*H71,'FT_PROD (5)'!I71=Listes!$C$3,'1. DONNEES DE BASE'!$B$3*'FT_PROD (5)'!H71,TRUE,0)</f>
        <v>0</v>
      </c>
      <c r="K71" s="488"/>
    </row>
    <row r="72" spans="2:11" ht="13.15">
      <c r="B72" s="543" t="s">
        <v>305</v>
      </c>
      <c r="C72" s="540">
        <v>0</v>
      </c>
      <c r="D72" s="540">
        <v>0</v>
      </c>
      <c r="E72" s="276">
        <f t="shared" si="5"/>
        <v>0</v>
      </c>
      <c r="F72" s="540"/>
      <c r="G72" s="540"/>
      <c r="H72" s="276">
        <f t="shared" si="6"/>
        <v>0</v>
      </c>
      <c r="I72" s="541"/>
      <c r="J72" s="277" cm="1">
        <f t="array" ref="J72">_xlfn.IFS(I72=Listes!$C$2,'1. DONNEES DE BASE'!$B$2*H72,'FT_PROD (5)'!I72=Listes!$C$3,'1. DONNEES DE BASE'!$B$3*'FT_PROD (5)'!H72,TRUE,0)</f>
        <v>0</v>
      </c>
      <c r="K72" s="488"/>
    </row>
    <row r="73" spans="2:11" ht="13.8" thickBot="1">
      <c r="B73" s="278" t="s">
        <v>47</v>
      </c>
      <c r="C73" s="279">
        <f>SUM(C61:C72)</f>
        <v>288</v>
      </c>
      <c r="D73" s="279">
        <f>SUM(D61:D72)</f>
        <v>255</v>
      </c>
      <c r="E73" s="279">
        <f>SUM(E61:E72)</f>
        <v>543</v>
      </c>
      <c r="F73" s="279"/>
      <c r="G73" s="279"/>
      <c r="H73" s="279">
        <f>SUM(H61:H72)</f>
        <v>10.887499999999999</v>
      </c>
      <c r="I73" s="279"/>
      <c r="J73" s="18">
        <f>SUMIF(J61:J72,"&lt;&gt;#N/A")</f>
        <v>1.4593</v>
      </c>
      <c r="K73" s="488"/>
    </row>
    <row r="74" spans="2:11">
      <c r="B74" s="488"/>
      <c r="C74" s="488"/>
      <c r="D74" s="488"/>
      <c r="E74" s="488"/>
      <c r="F74" s="488"/>
      <c r="G74" s="488"/>
      <c r="H74" s="488"/>
      <c r="I74" s="488"/>
      <c r="J74" s="488"/>
      <c r="K74" s="488"/>
    </row>
    <row r="75" spans="2:11">
      <c r="B75" s="488"/>
      <c r="C75" s="488"/>
      <c r="D75" s="488"/>
      <c r="E75" s="488"/>
      <c r="F75" s="488"/>
      <c r="G75" s="488"/>
      <c r="H75" s="488"/>
      <c r="I75" s="488"/>
      <c r="J75" s="488"/>
      <c r="K75" s="488"/>
    </row>
    <row r="76" spans="2:11">
      <c r="B76" s="544" t="s">
        <v>531</v>
      </c>
      <c r="C76" s="544"/>
      <c r="D76" s="488"/>
      <c r="E76" s="488"/>
      <c r="F76" s="488"/>
      <c r="G76" s="488"/>
      <c r="H76" s="488"/>
      <c r="I76" s="488"/>
      <c r="J76" s="488"/>
      <c r="K76" s="488"/>
    </row>
    <row r="77" spans="2:11" ht="13.15">
      <c r="B77" s="545" t="s">
        <v>532</v>
      </c>
      <c r="C77" s="280">
        <f>SUMIFS(G17:G32,C17:C32,"Auto")</f>
        <v>175</v>
      </c>
      <c r="D77" s="488"/>
      <c r="E77" s="488"/>
      <c r="F77" s="488"/>
      <c r="G77" s="488"/>
      <c r="H77" s="488"/>
      <c r="I77" s="488"/>
      <c r="J77" s="488"/>
      <c r="K77" s="488"/>
    </row>
    <row r="78" spans="2:11" ht="13.15">
      <c r="B78" s="545" t="s">
        <v>533</v>
      </c>
      <c r="C78" s="281">
        <f>C77/D8</f>
        <v>0.77777777777777779</v>
      </c>
      <c r="D78" s="488"/>
      <c r="E78" s="488"/>
      <c r="F78" s="488"/>
      <c r="G78" s="488"/>
      <c r="H78" s="488"/>
      <c r="I78" s="488"/>
      <c r="J78" s="488"/>
      <c r="K78" s="488"/>
    </row>
  </sheetData>
  <sheetProtection algorithmName="SHA-512" hashValue="JxGO0kYFCXzUSHIXmCUuTQNIP3GMtFztaBt5+tNlxSFzmACeLZ8Yrd2ncFSlrLDimdODzfNWTZD7xTCOZufqFg==" saltValue="Xv+yYzWbBr48p2jlvLfvUQ==" spinCount="100000" sheet="1" objects="1" scenarios="1" sort="0" autoFilter="0"/>
  <protectedRanges>
    <protectedRange sqref="I61:I72" name="TYpe energie"/>
    <protectedRange sqref="C2:C3 D5:D6 D8 D10:D11 G11:G12" name="Données de base"/>
    <protectedRange sqref="I17:K32 I34:K42 B34:F42 B17:F32" name="Ingred et consommables"/>
    <protectedRange sqref="B61:D72 F61:G72" name="Energie et travail"/>
  </protectedRanges>
  <mergeCells count="17">
    <mergeCell ref="B33:F3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I16:K16"/>
    <mergeCell ref="B43:F43"/>
    <mergeCell ref="B44:F44"/>
    <mergeCell ref="B48:G48"/>
    <mergeCell ref="I48:K48"/>
    <mergeCell ref="B59:J59"/>
  </mergeCells>
  <dataValidations count="2">
    <dataValidation type="list" allowBlank="1" showInputMessage="1" showErrorMessage="1" errorTitle="Ingrédient invalide" error="Veuillez sélectionner un ingrédient dans la liste." sqref="B17:B32" xr:uid="{87EA1424-9805-42E6-9BCB-12C38A2601C6}">
      <formula1>ListeIngredients</formula1>
    </dataValidation>
    <dataValidation type="list" allowBlank="1" showInputMessage="1" showErrorMessage="1" errorTitle="Consommable invalide" error="Veuillez sélectionner un consommable dans la liste." sqref="B34:B42" xr:uid="{B56E79A9-2D05-48FF-89B7-2D1E5D7BDAB1}">
      <formula1>ListeConsommables</formula1>
    </dataValidation>
  </dataValidations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5F0AB4-277D-4F04-9DBB-4797C67D6589}">
          <x14:formula1>
            <xm:f>Listes!$C$2:$C$5</xm:f>
          </x14:formula1>
          <xm:sqref>I61:I63 I65:I72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8EE5A-6DD5-4C14-9EDF-ECC7853C34A7}">
  <sheetPr>
    <pageSetUpPr fitToPage="1"/>
  </sheetPr>
  <dimension ref="B1:Q78"/>
  <sheetViews>
    <sheetView showGridLines="0" zoomScale="85" zoomScaleNormal="85" workbookViewId="0">
      <selection activeCell="C4" sqref="C4"/>
    </sheetView>
  </sheetViews>
  <sheetFormatPr baseColWidth="10" defaultColWidth="11.44140625" defaultRowHeight="12.55"/>
  <cols>
    <col min="1" max="1" width="1.44140625" style="251" customWidth="1"/>
    <col min="2" max="2" width="23.109375" style="251" customWidth="1"/>
    <col min="3" max="3" width="20" style="251" customWidth="1"/>
    <col min="4" max="4" width="19" style="251" customWidth="1"/>
    <col min="5" max="5" width="13.6640625" style="251" bestFit="1" customWidth="1"/>
    <col min="6" max="6" width="23.21875" style="251" customWidth="1"/>
    <col min="7" max="7" width="14.5546875" style="251" customWidth="1"/>
    <col min="8" max="8" width="14.109375" style="251" customWidth="1"/>
    <col min="9" max="9" width="17.33203125" style="251" customWidth="1"/>
    <col min="10" max="10" width="16.6640625" style="251" customWidth="1"/>
    <col min="11" max="11" width="12.109375" style="251" customWidth="1"/>
    <col min="12" max="16384" width="11.44140625" style="251"/>
  </cols>
  <sheetData>
    <row r="1" spans="2:11" ht="47.3" customHeight="1">
      <c r="B1" s="485" t="s">
        <v>37</v>
      </c>
      <c r="C1" s="486"/>
      <c r="D1" s="486"/>
      <c r="E1" s="486"/>
      <c r="F1" s="486"/>
      <c r="G1" s="486"/>
      <c r="H1" s="486"/>
      <c r="I1" s="486"/>
      <c r="J1" s="487"/>
      <c r="K1" s="488"/>
    </row>
    <row r="2" spans="2:11" ht="16.3" customHeight="1">
      <c r="B2" s="489" t="s">
        <v>39</v>
      </c>
      <c r="C2" s="490" t="s">
        <v>310</v>
      </c>
      <c r="D2" s="491"/>
      <c r="E2" s="492"/>
      <c r="F2" s="486"/>
      <c r="G2" s="486"/>
      <c r="H2" s="486"/>
      <c r="I2" s="486"/>
      <c r="J2" s="488"/>
      <c r="K2" s="488"/>
    </row>
    <row r="3" spans="2:11" ht="18.8" customHeight="1">
      <c r="B3" s="489" t="s">
        <v>23</v>
      </c>
      <c r="C3" s="490" t="s">
        <v>563</v>
      </c>
      <c r="D3" s="491"/>
      <c r="E3" s="492"/>
      <c r="F3" s="486"/>
      <c r="G3" s="486"/>
      <c r="H3" s="486"/>
      <c r="I3" s="486"/>
      <c r="J3" s="488"/>
      <c r="K3" s="488"/>
    </row>
    <row r="4" spans="2:11" ht="18.8" customHeight="1">
      <c r="B4" s="493"/>
      <c r="C4" s="486"/>
      <c r="D4" s="486"/>
      <c r="E4" s="488"/>
      <c r="F4" s="486"/>
      <c r="G4" s="486"/>
      <c r="H4" s="905" t="s">
        <v>306</v>
      </c>
      <c r="I4" s="905"/>
      <c r="J4" s="905"/>
      <c r="K4" s="488"/>
    </row>
    <row r="5" spans="2:11" ht="19.899999999999999" customHeight="1">
      <c r="B5" s="489" t="s">
        <v>284</v>
      </c>
      <c r="C5" s="494"/>
      <c r="D5" s="495">
        <v>50</v>
      </c>
      <c r="E5" s="496"/>
      <c r="F5" s="497"/>
      <c r="G5" s="498"/>
      <c r="H5" s="906" t="s">
        <v>285</v>
      </c>
      <c r="I5" s="896"/>
      <c r="J5" s="896"/>
      <c r="K5" s="488"/>
    </row>
    <row r="6" spans="2:11" ht="19.899999999999999" customHeight="1">
      <c r="B6" s="489" t="s">
        <v>286</v>
      </c>
      <c r="C6" s="494"/>
      <c r="D6" s="499">
        <v>0.2</v>
      </c>
      <c r="E6" s="496"/>
      <c r="F6" s="497"/>
      <c r="G6" s="498"/>
      <c r="H6" s="896"/>
      <c r="I6" s="896"/>
      <c r="J6" s="896"/>
      <c r="K6" s="488"/>
    </row>
    <row r="7" spans="2:11" ht="19.899999999999999" customHeight="1">
      <c r="B7" s="489" t="s">
        <v>35</v>
      </c>
      <c r="C7" s="494"/>
      <c r="D7" s="252">
        <f>D5/D6</f>
        <v>250</v>
      </c>
      <c r="E7" s="496"/>
      <c r="F7" s="497"/>
      <c r="G7" s="498"/>
      <c r="H7" s="896"/>
      <c r="I7" s="896"/>
      <c r="J7" s="896"/>
      <c r="K7" s="488"/>
    </row>
    <row r="8" spans="2:11" ht="19.899999999999999" customHeight="1">
      <c r="B8" s="489" t="s">
        <v>36</v>
      </c>
      <c r="C8" s="494"/>
      <c r="D8" s="499">
        <v>225</v>
      </c>
      <c r="E8" s="496"/>
      <c r="F8" s="497"/>
      <c r="G8" s="498"/>
      <c r="H8" s="896" t="s">
        <v>287</v>
      </c>
      <c r="I8" s="896"/>
      <c r="J8" s="896"/>
      <c r="K8" s="488"/>
    </row>
    <row r="9" spans="2:11" ht="19.899999999999999" customHeight="1">
      <c r="B9" s="489" t="s">
        <v>34</v>
      </c>
      <c r="C9" s="494"/>
      <c r="D9" s="10">
        <f>1-(D8/D7)</f>
        <v>9.9999999999999978E-2</v>
      </c>
      <c r="E9" s="496"/>
      <c r="F9" s="497"/>
      <c r="G9" s="498"/>
      <c r="H9" s="896" t="s">
        <v>288</v>
      </c>
      <c r="I9" s="896"/>
      <c r="J9" s="896"/>
      <c r="K9" s="488"/>
    </row>
    <row r="10" spans="2:11" ht="19.899999999999999" customHeight="1">
      <c r="B10" s="489" t="s">
        <v>25</v>
      </c>
      <c r="C10" s="494"/>
      <c r="D10" s="500">
        <v>4.0599999999999996</v>
      </c>
      <c r="E10" s="489" t="s">
        <v>32</v>
      </c>
      <c r="F10" s="501"/>
      <c r="G10" s="253">
        <f>G12/(1+G11)</f>
        <v>4.6698113207547172</v>
      </c>
      <c r="H10" s="896"/>
      <c r="I10" s="896"/>
      <c r="J10" s="896"/>
      <c r="K10" s="488"/>
    </row>
    <row r="11" spans="2:11" ht="19.899999999999999" customHeight="1">
      <c r="B11" s="489" t="s">
        <v>3</v>
      </c>
      <c r="C11" s="494"/>
      <c r="D11" s="502">
        <v>0.06</v>
      </c>
      <c r="E11" s="489" t="s">
        <v>3</v>
      </c>
      <c r="F11" s="501"/>
      <c r="G11" s="503">
        <v>0.06</v>
      </c>
      <c r="H11" s="896"/>
      <c r="I11" s="896"/>
      <c r="J11" s="896"/>
      <c r="K11" s="488"/>
    </row>
    <row r="12" spans="2:11" ht="19.899999999999999" customHeight="1">
      <c r="B12" s="489" t="s">
        <v>33</v>
      </c>
      <c r="C12" s="494"/>
      <c r="D12" s="254">
        <f>D10*(1+D11)</f>
        <v>4.3035999999999994</v>
      </c>
      <c r="E12" s="489" t="s">
        <v>24</v>
      </c>
      <c r="F12" s="501"/>
      <c r="G12" s="504">
        <v>4.95</v>
      </c>
      <c r="H12" s="896"/>
      <c r="I12" s="896"/>
      <c r="J12" s="896"/>
      <c r="K12" s="488"/>
    </row>
    <row r="13" spans="2:11" ht="19.899999999999999" customHeight="1">
      <c r="B13" s="489" t="s">
        <v>289</v>
      </c>
      <c r="C13" s="494"/>
      <c r="D13" s="10">
        <f>G10/D10-1</f>
        <v>0.15019983269820636</v>
      </c>
      <c r="E13" s="505"/>
      <c r="F13" s="505"/>
      <c r="G13" s="505"/>
      <c r="H13" s="896" t="s">
        <v>290</v>
      </c>
      <c r="I13" s="896"/>
      <c r="J13" s="896"/>
      <c r="K13" s="488"/>
    </row>
    <row r="14" spans="2:11" ht="18.8" customHeight="1">
      <c r="B14" s="505"/>
      <c r="C14" s="505"/>
      <c r="D14" s="505"/>
      <c r="E14" s="505"/>
      <c r="F14" s="505"/>
      <c r="G14" s="505"/>
      <c r="H14" s="505"/>
      <c r="I14" s="505"/>
      <c r="J14" s="488"/>
      <c r="K14" s="488"/>
    </row>
    <row r="15" spans="2:11" ht="6.75" customHeight="1" thickBot="1">
      <c r="B15" s="488"/>
      <c r="C15" s="488"/>
      <c r="D15" s="488"/>
      <c r="E15" s="488"/>
      <c r="F15" s="488"/>
      <c r="G15" s="488"/>
      <c r="H15" s="488"/>
      <c r="I15" s="488"/>
      <c r="J15" s="488"/>
      <c r="K15" s="488"/>
    </row>
    <row r="16" spans="2:11" s="255" customFormat="1" ht="45.1" customHeight="1">
      <c r="B16" s="506" t="s">
        <v>4</v>
      </c>
      <c r="C16" s="507" t="s">
        <v>5</v>
      </c>
      <c r="D16" s="508" t="s">
        <v>6</v>
      </c>
      <c r="E16" s="508" t="s">
        <v>7</v>
      </c>
      <c r="F16" s="508" t="s">
        <v>8</v>
      </c>
      <c r="G16" s="508" t="s">
        <v>300</v>
      </c>
      <c r="H16" s="509" t="s">
        <v>30</v>
      </c>
      <c r="I16" s="899" t="s">
        <v>22</v>
      </c>
      <c r="J16" s="899"/>
      <c r="K16" s="900"/>
    </row>
    <row r="17" spans="2:11" s="260" customFormat="1" ht="17.25" customHeight="1">
      <c r="B17" s="477" t="s">
        <v>14</v>
      </c>
      <c r="C17" s="256" t="str">
        <f>IF(ISBLANK(B17),"",_xlfn.XLOOKUP(B17,tblIngredients[Article],tblIngredients[Fournisseur],""))</f>
        <v>Auto</v>
      </c>
      <c r="D17" s="257" t="str">
        <f>IF(ISBLANK(B17),"",_xlfn.XLOOKUP(B17,tblIngredients[Article],tblIngredients[Unité conditionnement],""))</f>
        <v>1 kg</v>
      </c>
      <c r="E17" s="258">
        <f>IF(ISBLANK(B17),"",_xlfn.XLOOKUP(B17,tblIngredients[Article],tblIngredients[Coût d''achat HTVA  à l''unité],""))</f>
        <v>3.5</v>
      </c>
      <c r="F17" s="510">
        <v>50</v>
      </c>
      <c r="G17" s="259">
        <f>IF(OR(F17="",ISBLANK(F17)),"",E17*F17)</f>
        <v>175</v>
      </c>
      <c r="H17" s="11">
        <f>IF(OR(G17="",ISBLANK(G17)),"",G17/G$33)</f>
        <v>0.92115565556674106</v>
      </c>
      <c r="I17" s="511" t="s">
        <v>291</v>
      </c>
      <c r="J17" s="512"/>
      <c r="K17" s="513"/>
    </row>
    <row r="18" spans="2:11" s="260" customFormat="1" ht="17.25" customHeight="1">
      <c r="B18" s="477" t="s">
        <v>15</v>
      </c>
      <c r="C18" s="256" t="str">
        <f>IF(ISBLANK(B18),"",_xlfn.XLOOKUP(B18,tblIngredients[Article],tblIngredients[Fournisseur],""))</f>
        <v>Inbterbio</v>
      </c>
      <c r="D18" s="257" t="str">
        <f>IF(ISBLANK(B18),"",_xlfn.XLOOKUP(B18,tblIngredients[Article],tblIngredients[Unité conditionnement],""))</f>
        <v>1 kg</v>
      </c>
      <c r="E18" s="258">
        <f>IF(ISBLANK(B18),"",_xlfn.XLOOKUP(B18,tblIngredients[Article],tblIngredients[Coût d''achat HTVA  à l''unité],""))</f>
        <v>6</v>
      </c>
      <c r="F18" s="510">
        <v>0.5</v>
      </c>
      <c r="G18" s="259">
        <f t="shared" ref="G18:G32" si="0">IF(OR(F18="",ISBLANK(F18)),"",E18*F18)</f>
        <v>3</v>
      </c>
      <c r="H18" s="11">
        <f t="shared" ref="H18:H32" si="1">IF(OR(G18="",ISBLANK(G18)),"",G18/G$33)</f>
        <v>1.5791239809715561E-2</v>
      </c>
      <c r="I18" s="514"/>
      <c r="J18" s="512"/>
      <c r="K18" s="513"/>
    </row>
    <row r="19" spans="2:11" s="260" customFormat="1" ht="17.25" customHeight="1">
      <c r="B19" s="477" t="s">
        <v>16</v>
      </c>
      <c r="C19" s="256" t="str">
        <f>IF(ISBLANK(B19),"",_xlfn.XLOOKUP(B19,tblIngredients[Article],tblIngredients[Fournisseur],""))</f>
        <v>Interbio</v>
      </c>
      <c r="D19" s="257" t="str">
        <f>IF(ISBLANK(B19),"",_xlfn.XLOOKUP(B19,tblIngredients[Article],tblIngredients[Unité conditionnement],""))</f>
        <v>1 Botte</v>
      </c>
      <c r="E19" s="258">
        <f>IF(ISBLANK(B19),"",_xlfn.XLOOKUP(B19,tblIngredients[Article],tblIngredients[Coût d''achat HTVA  à l''unité],""))</f>
        <v>1.89</v>
      </c>
      <c r="F19" s="510">
        <v>4</v>
      </c>
      <c r="G19" s="259">
        <f t="shared" si="0"/>
        <v>7.56</v>
      </c>
      <c r="H19" s="11">
        <f t="shared" si="1"/>
        <v>3.9793924320483211E-2</v>
      </c>
      <c r="I19" s="514"/>
      <c r="J19" s="512"/>
      <c r="K19" s="513"/>
    </row>
    <row r="20" spans="2:11" s="260" customFormat="1" ht="17.25" customHeight="1">
      <c r="B20" s="477" t="s">
        <v>17</v>
      </c>
      <c r="C20" s="256" t="str">
        <f>IF(ISBLANK(B20),"",_xlfn.XLOOKUP(B20,tblIngredients[Article],tblIngredients[Fournisseur],""))</f>
        <v>Solucious</v>
      </c>
      <c r="D20" s="257" t="str">
        <f>IF(ISBLANK(B20),"",_xlfn.XLOOKUP(B20,tblIngredients[Article],tblIngredients[Unité conditionnement],""))</f>
        <v>1 L</v>
      </c>
      <c r="E20" s="258">
        <f>IF(ISBLANK(B20),"",_xlfn.XLOOKUP(B20,tblIngredients[Article],tblIngredients[Coût d''achat HTVA  à l''unité],""))</f>
        <v>17.649999999999999</v>
      </c>
      <c r="F20" s="510">
        <v>0.25</v>
      </c>
      <c r="G20" s="259">
        <f t="shared" si="0"/>
        <v>4.4124999999999996</v>
      </c>
      <c r="H20" s="11">
        <f t="shared" si="1"/>
        <v>2.3226281886789969E-2</v>
      </c>
      <c r="I20" s="514"/>
      <c r="J20" s="512"/>
      <c r="K20" s="513"/>
    </row>
    <row r="21" spans="2:11" s="260" customFormat="1" ht="17.25" customHeight="1">
      <c r="B21" s="477" t="s">
        <v>391</v>
      </c>
      <c r="C21" s="256" t="str">
        <f>IF(ISBLANK(B21),"",_xlfn.XLOOKUP(B21,tblIngredients[Article],tblIngredients[Fournisseur],""))</f>
        <v>Solucious</v>
      </c>
      <c r="D21" s="257" t="str">
        <f>IF(ISBLANK(B21),"",_xlfn.XLOOKUP(B21,tblIngredients[Article],tblIngredients[Unité conditionnement],""))</f>
        <v>1 Kg</v>
      </c>
      <c r="E21" s="258">
        <f>IF(ISBLANK(B21),"",_xlfn.XLOOKUP(B21,tblIngredients[Article],tblIngredients[Coût d''achat HTVA  à l''unité],""))</f>
        <v>6.25</v>
      </c>
      <c r="F21" s="510">
        <v>1E-3</v>
      </c>
      <c r="G21" s="259">
        <f t="shared" si="0"/>
        <v>6.2500000000000003E-3</v>
      </c>
      <c r="H21" s="11">
        <f t="shared" si="1"/>
        <v>3.2898416270240753E-5</v>
      </c>
      <c r="I21" s="514"/>
      <c r="J21" s="512"/>
      <c r="K21" s="513"/>
    </row>
    <row r="22" spans="2:11" s="260" customFormat="1" ht="17.25" customHeight="1">
      <c r="B22" s="477"/>
      <c r="C22" s="256" t="str">
        <f>IF(ISBLANK(B22),"",_xlfn.XLOOKUP(B22,tblIngredients[Article],tblIngredients[Fournisseur],""))</f>
        <v/>
      </c>
      <c r="D22" s="257" t="str">
        <f>IF(ISBLANK(B22),"",_xlfn.XLOOKUP(B22,tblIngredients[Article],tblIngredients[Unité conditionnement],""))</f>
        <v/>
      </c>
      <c r="E22" s="258" t="str">
        <f>IF(ISBLANK(B22),"",_xlfn.XLOOKUP(B22,tblIngredients[Article],tblIngredients[Coût d''achat HTVA  à l''unité],""))</f>
        <v/>
      </c>
      <c r="F22" s="510"/>
      <c r="G22" s="259" t="str">
        <f t="shared" si="0"/>
        <v/>
      </c>
      <c r="H22" s="11" t="str">
        <f t="shared" si="1"/>
        <v/>
      </c>
      <c r="I22" s="514"/>
      <c r="J22" s="512"/>
      <c r="K22" s="513"/>
    </row>
    <row r="23" spans="2:11" s="260" customFormat="1" ht="17.25" customHeight="1">
      <c r="B23" s="477"/>
      <c r="C23" s="256" t="str">
        <f>IF(ISBLANK(B23),"",_xlfn.XLOOKUP(B23,tblIngredients[Article],tblIngredients[Fournisseur],""))</f>
        <v/>
      </c>
      <c r="D23" s="257" t="str">
        <f>IF(ISBLANK(B23),"",_xlfn.XLOOKUP(B23,tblIngredients[Article],tblIngredients[Unité conditionnement],""))</f>
        <v/>
      </c>
      <c r="E23" s="258" t="str">
        <f>IF(ISBLANK(B23),"",_xlfn.XLOOKUP(B23,tblIngredients[Article],tblIngredients[Coût d''achat HTVA  à l''unité],""))</f>
        <v/>
      </c>
      <c r="F23" s="510"/>
      <c r="G23" s="259" t="str">
        <f t="shared" si="0"/>
        <v/>
      </c>
      <c r="H23" s="11" t="str">
        <f t="shared" si="1"/>
        <v/>
      </c>
      <c r="I23" s="514"/>
      <c r="J23" s="512"/>
      <c r="K23" s="513"/>
    </row>
    <row r="24" spans="2:11" s="260" customFormat="1" ht="17.25" customHeight="1">
      <c r="B24" s="477"/>
      <c r="C24" s="256" t="str">
        <f>IF(ISBLANK(B24),"",_xlfn.XLOOKUP(B24,tblIngredients[Article],tblIngredients[Fournisseur],""))</f>
        <v/>
      </c>
      <c r="D24" s="257" t="str">
        <f>IF(ISBLANK(B24),"",_xlfn.XLOOKUP(B24,tblIngredients[Article],tblIngredients[Unité conditionnement],""))</f>
        <v/>
      </c>
      <c r="E24" s="258" t="str">
        <f>IF(ISBLANK(B24),"",_xlfn.XLOOKUP(B24,tblIngredients[Article],tblIngredients[Coût d''achat HTVA  à l''unité],""))</f>
        <v/>
      </c>
      <c r="F24" s="510"/>
      <c r="G24" s="259" t="str">
        <f t="shared" si="0"/>
        <v/>
      </c>
      <c r="H24" s="11" t="str">
        <f t="shared" si="1"/>
        <v/>
      </c>
      <c r="I24" s="514"/>
      <c r="J24" s="512"/>
      <c r="K24" s="513"/>
    </row>
    <row r="25" spans="2:11" s="260" customFormat="1" ht="17.25" customHeight="1">
      <c r="B25" s="477"/>
      <c r="C25" s="256" t="str">
        <f>IF(ISBLANK(B25),"",_xlfn.XLOOKUP(B25,tblIngredients[Article],tblIngredients[Fournisseur],""))</f>
        <v/>
      </c>
      <c r="D25" s="257" t="str">
        <f>IF(ISBLANK(B25),"",_xlfn.XLOOKUP(B25,tblIngredients[Article],tblIngredients[Unité conditionnement],""))</f>
        <v/>
      </c>
      <c r="E25" s="258" t="str">
        <f>IF(ISBLANK(B25),"",_xlfn.XLOOKUP(B25,tblIngredients[Article],tblIngredients[Coût d''achat HTVA  à l''unité],""))</f>
        <v/>
      </c>
      <c r="F25" s="510"/>
      <c r="G25" s="259" t="str">
        <f t="shared" si="0"/>
        <v/>
      </c>
      <c r="H25" s="11" t="str">
        <f t="shared" si="1"/>
        <v/>
      </c>
      <c r="I25" s="514"/>
      <c r="J25" s="512"/>
      <c r="K25" s="513"/>
    </row>
    <row r="26" spans="2:11" s="260" customFormat="1" ht="17.25" customHeight="1">
      <c r="B26" s="477"/>
      <c r="C26" s="256" t="str">
        <f>IF(ISBLANK(B26),"",_xlfn.XLOOKUP(B26,tblIngredients[Article],tblIngredients[Fournisseur],""))</f>
        <v/>
      </c>
      <c r="D26" s="257" t="str">
        <f>IF(ISBLANK(B26),"",_xlfn.XLOOKUP(B26,tblIngredients[Article],tblIngredients[Unité conditionnement],""))</f>
        <v/>
      </c>
      <c r="E26" s="258" t="str">
        <f>IF(ISBLANK(B26),"",_xlfn.XLOOKUP(B26,tblIngredients[Article],tblIngredients[Coût d''achat HTVA  à l''unité],""))</f>
        <v/>
      </c>
      <c r="F26" s="510"/>
      <c r="G26" s="259" t="str">
        <f t="shared" si="0"/>
        <v/>
      </c>
      <c r="H26" s="11" t="str">
        <f t="shared" si="1"/>
        <v/>
      </c>
      <c r="I26" s="514"/>
      <c r="J26" s="512"/>
      <c r="K26" s="513"/>
    </row>
    <row r="27" spans="2:11" s="260" customFormat="1" ht="17.25" customHeight="1">
      <c r="B27" s="477"/>
      <c r="C27" s="256" t="str">
        <f>IF(ISBLANK(B27),"",_xlfn.XLOOKUP(B27,tblIngredients[Article],tblIngredients[Fournisseur],""))</f>
        <v/>
      </c>
      <c r="D27" s="257" t="str">
        <f>IF(ISBLANK(B27),"",_xlfn.XLOOKUP(B27,tblIngredients[Article],tblIngredients[Unité conditionnement],""))</f>
        <v/>
      </c>
      <c r="E27" s="258" t="str">
        <f>IF(ISBLANK(B27),"",_xlfn.XLOOKUP(B27,tblIngredients[Article],tblIngredients[Coût d''achat HTVA  à l''unité],""))</f>
        <v/>
      </c>
      <c r="F27" s="510"/>
      <c r="G27" s="259" t="str">
        <f t="shared" si="0"/>
        <v/>
      </c>
      <c r="H27" s="11" t="str">
        <f t="shared" si="1"/>
        <v/>
      </c>
      <c r="I27" s="514"/>
      <c r="J27" s="512"/>
      <c r="K27" s="513"/>
    </row>
    <row r="28" spans="2:11" s="260" customFormat="1" ht="17.25" customHeight="1">
      <c r="B28" s="477"/>
      <c r="C28" s="256"/>
      <c r="D28" s="257"/>
      <c r="E28" s="258"/>
      <c r="F28" s="510"/>
      <c r="G28" s="259"/>
      <c r="H28" s="11"/>
      <c r="I28" s="514"/>
      <c r="J28" s="512"/>
      <c r="K28" s="513"/>
    </row>
    <row r="29" spans="2:11" s="260" customFormat="1" ht="17.25" customHeight="1">
      <c r="B29" s="477"/>
      <c r="C29" s="256" t="str">
        <f>IF(ISBLANK(B29),"",_xlfn.XLOOKUP(B29,tblIngredients[Article],tblIngredients[Fournisseur],""))</f>
        <v/>
      </c>
      <c r="D29" s="257" t="str">
        <f>IF(ISBLANK(B29),"",_xlfn.XLOOKUP(B29,tblIngredients[Article],tblIngredients[Unité conditionnement],""))</f>
        <v/>
      </c>
      <c r="E29" s="258" t="str">
        <f>IF(ISBLANK(B29),"",_xlfn.XLOOKUP(B29,tblIngredients[Article],tblIngredients[Coût d''achat HTVA  à l''unité],""))</f>
        <v/>
      </c>
      <c r="F29" s="510"/>
      <c r="G29" s="259" t="str">
        <f t="shared" si="0"/>
        <v/>
      </c>
      <c r="H29" s="11" t="str">
        <f t="shared" si="1"/>
        <v/>
      </c>
      <c r="I29" s="514"/>
      <c r="J29" s="512"/>
      <c r="K29" s="513"/>
    </row>
    <row r="30" spans="2:11" s="260" customFormat="1" ht="17.25" customHeight="1">
      <c r="B30" s="477"/>
      <c r="C30" s="256" t="str">
        <f>IF(ISBLANK(B30),"",_xlfn.XLOOKUP(B30,tblIngredients[Article],tblIngredients[Fournisseur],""))</f>
        <v/>
      </c>
      <c r="D30" s="257" t="str">
        <f>IF(ISBLANK(B30),"",_xlfn.XLOOKUP(B30,tblIngredients[Article],tblIngredients[Unité conditionnement],""))</f>
        <v/>
      </c>
      <c r="E30" s="258" t="str">
        <f>IF(ISBLANK(B30),"",_xlfn.XLOOKUP(B30,tblIngredients[Article],tblIngredients[Coût d''achat HTVA  à l''unité],""))</f>
        <v/>
      </c>
      <c r="F30" s="510"/>
      <c r="G30" s="259" t="str">
        <f t="shared" si="0"/>
        <v/>
      </c>
      <c r="H30" s="11" t="str">
        <f t="shared" si="1"/>
        <v/>
      </c>
      <c r="I30" s="514"/>
      <c r="J30" s="512"/>
      <c r="K30" s="513"/>
    </row>
    <row r="31" spans="2:11" s="260" customFormat="1" ht="17.25" customHeight="1">
      <c r="B31" s="477"/>
      <c r="C31" s="256" t="str">
        <f>IF(ISBLANK(B31),"",_xlfn.XLOOKUP(B31,tblIngredients[Article],tblIngredients[Fournisseur],""))</f>
        <v/>
      </c>
      <c r="D31" s="257" t="str">
        <f>IF(ISBLANK(B31),"",_xlfn.XLOOKUP(B31,tblIngredients[Article],tblIngredients[Unité conditionnement],""))</f>
        <v/>
      </c>
      <c r="E31" s="258" t="str">
        <f>IF(ISBLANK(B31),"",_xlfn.XLOOKUP(B31,tblIngredients[Article],tblIngredients[Coût d''achat HTVA  à l''unité],""))</f>
        <v/>
      </c>
      <c r="F31" s="510"/>
      <c r="G31" s="259" t="str">
        <f t="shared" si="0"/>
        <v/>
      </c>
      <c r="H31" s="11" t="str">
        <f t="shared" si="1"/>
        <v/>
      </c>
      <c r="I31" s="514"/>
      <c r="J31" s="512"/>
      <c r="K31" s="513"/>
    </row>
    <row r="32" spans="2:11" s="260" customFormat="1" ht="17.25" customHeight="1">
      <c r="B32" s="477"/>
      <c r="C32" s="256" t="str">
        <f>IF(ISBLANK(B32),"",_xlfn.XLOOKUP(B32,tblIngredients[Article],tblIngredients[Fournisseur],""))</f>
        <v/>
      </c>
      <c r="D32" s="257" t="str">
        <f>IF(ISBLANK(B32),"",_xlfn.XLOOKUP(B32,tblIngredients[Article],tblIngredients[Unité conditionnement],""))</f>
        <v/>
      </c>
      <c r="E32" s="258" t="str">
        <f>IF(ISBLANK(B32),"",_xlfn.XLOOKUP(B32,tblIngredients[Article],tblIngredients[Coût d''achat HTVA  à l''unité],""))</f>
        <v/>
      </c>
      <c r="F32" s="510"/>
      <c r="G32" s="259" t="str">
        <f t="shared" si="0"/>
        <v/>
      </c>
      <c r="H32" s="11" t="str">
        <f t="shared" si="1"/>
        <v/>
      </c>
      <c r="I32" s="514"/>
      <c r="J32" s="512"/>
      <c r="K32" s="513"/>
    </row>
    <row r="33" spans="2:11" s="260" customFormat="1" ht="17.25" customHeight="1">
      <c r="B33" s="904" t="s">
        <v>29</v>
      </c>
      <c r="C33" s="904"/>
      <c r="D33" s="904"/>
      <c r="E33" s="904"/>
      <c r="F33" s="904"/>
      <c r="G33" s="261">
        <f>SUM(G17:G32)</f>
        <v>189.97874999999999</v>
      </c>
      <c r="H33" s="12">
        <f>IF(G33="","",G33/G$45)</f>
        <v>0.72032302138783477</v>
      </c>
      <c r="I33" s="262"/>
      <c r="J33" s="263"/>
      <c r="K33" s="264"/>
    </row>
    <row r="34" spans="2:11" s="260" customFormat="1" ht="17.25" customHeight="1">
      <c r="B34" s="477" t="s">
        <v>19</v>
      </c>
      <c r="C34" s="256" t="str">
        <f>IF(ISBLANK(B34),"",_xlfn.XLOOKUP(B34,tblConsommables[Article],tblConsommables[Fournisseur],""))</f>
        <v>Grossiste</v>
      </c>
      <c r="D34" s="257" t="str">
        <f>IF(ISBLANK(B34),"",_xlfn.XLOOKUP(B34,tblConsommables[Article],tblConsommables[Unité conditionnement],""))</f>
        <v>Unité</v>
      </c>
      <c r="E34" s="258">
        <f>IF(ISBLANK(B34),"",_xlfn.XLOOKUP(B34,tblConsommables[Article],tblConsommables[Coût d''achat HTVA  à l''unité],""))</f>
        <v>0.154</v>
      </c>
      <c r="F34" s="515">
        <v>230</v>
      </c>
      <c r="G34" s="265">
        <f>IF(OR(F34="",ISBLANK(F34)),"",E34*F34)</f>
        <v>35.42</v>
      </c>
      <c r="H34" s="13">
        <f>IF(OR(G34="",ISBLANK(G34)),"",G34/G$43)</f>
        <v>0.48988285410010646</v>
      </c>
      <c r="I34" s="514"/>
      <c r="J34" s="512"/>
      <c r="K34" s="516"/>
    </row>
    <row r="35" spans="2:11" s="260" customFormat="1" ht="17.25" customHeight="1">
      <c r="B35" s="477" t="s">
        <v>38</v>
      </c>
      <c r="C35" s="256" t="str">
        <f>IF(ISBLANK(B35),"",_xlfn.XLOOKUP(B35,tblConsommables[Article],tblConsommables[Fournisseur],""))</f>
        <v>Grossiste</v>
      </c>
      <c r="D35" s="257" t="str">
        <f>IF(ISBLANK(B35),"",_xlfn.XLOOKUP(B35,tblConsommables[Article],tblConsommables[Unité conditionnement],""))</f>
        <v>Unité</v>
      </c>
      <c r="E35" s="258">
        <f>IF(ISBLANK(B35),"",_xlfn.XLOOKUP(B35,tblConsommables[Article],tblConsommables[Coût d''achat HTVA  à l''unité],""))</f>
        <v>0.12</v>
      </c>
      <c r="F35" s="515">
        <v>250</v>
      </c>
      <c r="G35" s="265">
        <f t="shared" ref="G35:G42" si="2">IF(OR(F35="",ISBLANK(F35)),"",E35*F35)</f>
        <v>30</v>
      </c>
      <c r="H35" s="13">
        <f t="shared" ref="H35:H42" si="3">IF(OR(G35="",ISBLANK(G35)),"",G35/G$43)</f>
        <v>0.41492054271606982</v>
      </c>
      <c r="I35" s="514"/>
      <c r="J35" s="512"/>
      <c r="K35" s="516"/>
    </row>
    <row r="36" spans="2:11" s="260" customFormat="1" ht="17.25" customHeight="1">
      <c r="B36" s="477" t="s">
        <v>27</v>
      </c>
      <c r="C36" s="256" t="str">
        <f>IF(ISBLANK(B36),"",_xlfn.XLOOKUP(B36,tblConsommables[Article],tblConsommables[Fournisseur],""))</f>
        <v>Grossiste</v>
      </c>
      <c r="D36" s="257" t="str">
        <f>IF(ISBLANK(B36),"",_xlfn.XLOOKUP(B36,tblConsommables[Article],tblConsommables[Unité conditionnement],""))</f>
        <v>Rack de 1000</v>
      </c>
      <c r="E36" s="258">
        <f>IF(ISBLANK(B36),"",_xlfn.XLOOKUP(B36,tblConsommables[Article],tblConsommables[Coût d''achat HTVA  à l''unité],""))</f>
        <v>27.3</v>
      </c>
      <c r="F36" s="515">
        <v>0.25</v>
      </c>
      <c r="G36" s="265">
        <f t="shared" si="2"/>
        <v>6.8250000000000002</v>
      </c>
      <c r="H36" s="13">
        <f t="shared" si="3"/>
        <v>9.4394423467905886E-2</v>
      </c>
      <c r="I36" s="514"/>
      <c r="J36" s="512"/>
      <c r="K36" s="516"/>
    </row>
    <row r="37" spans="2:11" s="260" customFormat="1" ht="17.25" customHeight="1">
      <c r="B37" s="477" t="s">
        <v>402</v>
      </c>
      <c r="C37" s="256" t="str">
        <f>IF(ISBLANK(B37),"",_xlfn.XLOOKUP(B37,tblConsommables[Article],tblConsommables[Fournisseur],""))</f>
        <v>Grossiste</v>
      </c>
      <c r="D37" s="257" t="str">
        <f>IF(ISBLANK(B37),"",_xlfn.XLOOKUP(B37,tblConsommables[Article],tblConsommables[Unité conditionnement],""))</f>
        <v>Rack de 1000</v>
      </c>
      <c r="E37" s="258">
        <f>IF(ISBLANK(B37),"",_xlfn.XLOOKUP(B37,tblConsommables[Article],tblConsommables[Coût d''achat HTVA  à l''unité],""))</f>
        <v>58</v>
      </c>
      <c r="F37" s="515">
        <v>1E-3</v>
      </c>
      <c r="G37" s="265">
        <f t="shared" si="2"/>
        <v>5.8000000000000003E-2</v>
      </c>
      <c r="H37" s="13">
        <f t="shared" si="3"/>
        <v>8.0217971591773501E-4</v>
      </c>
      <c r="I37" s="514"/>
      <c r="J37" s="512"/>
      <c r="K37" s="516"/>
    </row>
    <row r="38" spans="2:11" s="260" customFormat="1" ht="17.25" customHeight="1">
      <c r="B38" s="477"/>
      <c r="C38" s="256" t="str">
        <f>IF(ISBLANK(B38),"",_xlfn.XLOOKUP(B38,tblConsommables[Article],tblConsommables[Fournisseur],""))</f>
        <v/>
      </c>
      <c r="D38" s="257" t="str">
        <f>IF(ISBLANK(B38),"",_xlfn.XLOOKUP(B38,tblConsommables[Article],tblConsommables[Unité conditionnement],""))</f>
        <v/>
      </c>
      <c r="E38" s="258" t="str">
        <f>IF(ISBLANK(B38),"",_xlfn.XLOOKUP(B38,tblConsommables[Article],tblConsommables[Coût d''achat HTVA  à l''unité],""))</f>
        <v/>
      </c>
      <c r="F38" s="515"/>
      <c r="G38" s="265" t="str">
        <f t="shared" si="2"/>
        <v/>
      </c>
      <c r="H38" s="13" t="str">
        <f t="shared" si="3"/>
        <v/>
      </c>
      <c r="I38" s="514"/>
      <c r="J38" s="512"/>
      <c r="K38" s="516"/>
    </row>
    <row r="39" spans="2:11" s="260" customFormat="1" ht="17.25" customHeight="1">
      <c r="B39" s="477"/>
      <c r="C39" s="256" t="str">
        <f>IF(ISBLANK(B39),"",_xlfn.XLOOKUP(B39,tblConsommables[Article],tblConsommables[Fournisseur],""))</f>
        <v/>
      </c>
      <c r="D39" s="257" t="str">
        <f>IF(ISBLANK(B39),"",_xlfn.XLOOKUP(B39,tblConsommables[Article],tblConsommables[Unité conditionnement],""))</f>
        <v/>
      </c>
      <c r="E39" s="258" t="str">
        <f>IF(ISBLANK(B39),"",_xlfn.XLOOKUP(B39,tblConsommables[Article],tblConsommables[Coût d''achat HTVA  à l''unité],""))</f>
        <v/>
      </c>
      <c r="F39" s="515"/>
      <c r="G39" s="265" t="str">
        <f t="shared" si="2"/>
        <v/>
      </c>
      <c r="H39" s="13" t="str">
        <f t="shared" si="3"/>
        <v/>
      </c>
      <c r="I39" s="514"/>
      <c r="J39" s="512"/>
      <c r="K39" s="516"/>
    </row>
    <row r="40" spans="2:11" s="260" customFormat="1" ht="17.25" customHeight="1">
      <c r="B40" s="477"/>
      <c r="C40" s="256" t="str">
        <f>IF(ISBLANK(B40),"",_xlfn.XLOOKUP(B40,tblConsommables[Article],tblConsommables[Fournisseur],""))</f>
        <v/>
      </c>
      <c r="D40" s="257" t="str">
        <f>IF(ISBLANK(B40),"",_xlfn.XLOOKUP(B40,tblConsommables[Article],tblConsommables[Unité conditionnement],""))</f>
        <v/>
      </c>
      <c r="E40" s="258" t="str">
        <f>IF(ISBLANK(B40),"",_xlfn.XLOOKUP(B40,tblConsommables[Article],tblConsommables[Coût d''achat HTVA  à l''unité],""))</f>
        <v/>
      </c>
      <c r="F40" s="515"/>
      <c r="G40" s="265" t="str">
        <f t="shared" si="2"/>
        <v/>
      </c>
      <c r="H40" s="13" t="str">
        <f t="shared" si="3"/>
        <v/>
      </c>
      <c r="I40" s="514"/>
      <c r="J40" s="512"/>
      <c r="K40" s="516"/>
    </row>
    <row r="41" spans="2:11" s="260" customFormat="1" ht="17.25" customHeight="1">
      <c r="B41" s="477"/>
      <c r="C41" s="256" t="str">
        <f>IF(ISBLANK(B41),"",_xlfn.XLOOKUP(B41,tblConsommables[Article],tblConsommables[Fournisseur],""))</f>
        <v/>
      </c>
      <c r="D41" s="257" t="str">
        <f>IF(ISBLANK(B41),"",_xlfn.XLOOKUP(B41,tblConsommables[Article],tblConsommables[Unité conditionnement],""))</f>
        <v/>
      </c>
      <c r="E41" s="258" t="str">
        <f>IF(ISBLANK(B41),"",_xlfn.XLOOKUP(B41,tblConsommables[Article],tblConsommables[Coût d''achat HTVA  à l''unité],""))</f>
        <v/>
      </c>
      <c r="F41" s="515"/>
      <c r="G41" s="265" t="str">
        <f t="shared" si="2"/>
        <v/>
      </c>
      <c r="H41" s="13" t="str">
        <f t="shared" si="3"/>
        <v/>
      </c>
      <c r="I41" s="514"/>
      <c r="J41" s="512"/>
      <c r="K41" s="516"/>
    </row>
    <row r="42" spans="2:11" s="260" customFormat="1" ht="17.25" customHeight="1" thickBot="1">
      <c r="B42" s="477"/>
      <c r="C42" s="256" t="str">
        <f>IF(ISBLANK(B42),"",_xlfn.XLOOKUP(B42,tblConsommables[Article],tblConsommables[Fournisseur],""))</f>
        <v/>
      </c>
      <c r="D42" s="257" t="str">
        <f>IF(ISBLANK(B42),"",_xlfn.XLOOKUP(B42,tblConsommables[Article],tblConsommables[Unité conditionnement],""))</f>
        <v/>
      </c>
      <c r="E42" s="258" t="str">
        <f>IF(ISBLANK(B42),"",_xlfn.XLOOKUP(B42,tblConsommables[Article],tblConsommables[Coût d''achat HTVA  à l''unité],""))</f>
        <v/>
      </c>
      <c r="F42" s="517"/>
      <c r="G42" s="265" t="str">
        <f t="shared" si="2"/>
        <v/>
      </c>
      <c r="H42" s="13" t="str">
        <f t="shared" si="3"/>
        <v/>
      </c>
      <c r="I42" s="514"/>
      <c r="J42" s="512"/>
      <c r="K42" s="516"/>
    </row>
    <row r="43" spans="2:11" s="260" customFormat="1" ht="17.25" customHeight="1" thickBot="1">
      <c r="B43" s="897" t="s">
        <v>31</v>
      </c>
      <c r="C43" s="898"/>
      <c r="D43" s="898"/>
      <c r="E43" s="898"/>
      <c r="F43" s="898"/>
      <c r="G43" s="266">
        <f>SUM(G34:G42)</f>
        <v>72.303000000000011</v>
      </c>
      <c r="H43" s="14">
        <f>IF(G43="","",G43/G$45)</f>
        <v>0.27414389985935073</v>
      </c>
      <c r="I43" s="267"/>
      <c r="J43" s="267"/>
      <c r="K43" s="267"/>
    </row>
    <row r="44" spans="2:11" s="260" customFormat="1" ht="17.25" customHeight="1">
      <c r="B44" s="897" t="s">
        <v>180</v>
      </c>
      <c r="C44" s="898"/>
      <c r="D44" s="898"/>
      <c r="E44" s="898"/>
      <c r="F44" s="898"/>
      <c r="G44" s="268">
        <f>J73</f>
        <v>1.4593</v>
      </c>
      <c r="H44" s="14">
        <f>IF(G44="","",G44/G$45)</f>
        <v>5.5330787528145515E-3</v>
      </c>
      <c r="I44" s="269"/>
      <c r="J44" s="267"/>
      <c r="K44" s="267"/>
    </row>
    <row r="45" spans="2:11" s="260" customFormat="1" ht="17.25" customHeight="1">
      <c r="B45" s="518" t="s">
        <v>292</v>
      </c>
      <c r="C45" s="519"/>
      <c r="D45" s="519"/>
      <c r="E45" s="519"/>
      <c r="F45" s="520"/>
      <c r="G45" s="270">
        <f>SUM(G33,G43,G44)</f>
        <v>263.74104999999997</v>
      </c>
      <c r="H45" s="15">
        <f>IF(G45="","",G45/G$45)</f>
        <v>1</v>
      </c>
      <c r="I45" s="521"/>
      <c r="J45" s="521"/>
      <c r="K45" s="521"/>
    </row>
    <row r="46" spans="2:11" s="260" customFormat="1" ht="17.25" customHeight="1">
      <c r="B46" s="489" t="s">
        <v>293</v>
      </c>
      <c r="C46" s="522"/>
      <c r="D46" s="522"/>
      <c r="E46" s="522"/>
      <c r="F46" s="523"/>
      <c r="G46" s="270">
        <f>G45/D8</f>
        <v>1.1721824444444444</v>
      </c>
      <c r="H46" s="524"/>
      <c r="I46" s="521"/>
      <c r="J46" s="521"/>
      <c r="K46" s="521"/>
    </row>
    <row r="47" spans="2:11" s="260" customFormat="1" ht="17.25" customHeight="1">
      <c r="B47" s="521"/>
      <c r="C47" s="521"/>
      <c r="D47" s="521"/>
      <c r="E47" s="521"/>
      <c r="F47" s="521"/>
      <c r="G47" s="521"/>
      <c r="H47" s="525"/>
      <c r="I47" s="521"/>
      <c r="J47" s="521"/>
      <c r="K47" s="521"/>
    </row>
    <row r="48" spans="2:11" s="260" customFormat="1" ht="17.25" customHeight="1">
      <c r="B48" s="901" t="s">
        <v>294</v>
      </c>
      <c r="C48" s="902"/>
      <c r="D48" s="902"/>
      <c r="E48" s="902"/>
      <c r="F48" s="902"/>
      <c r="G48" s="903"/>
      <c r="H48" s="526"/>
      <c r="I48" s="901" t="s">
        <v>26</v>
      </c>
      <c r="J48" s="902"/>
      <c r="K48" s="903"/>
    </row>
    <row r="49" spans="2:17" s="260" customFormat="1" ht="17.25" customHeight="1">
      <c r="B49" s="489" t="s">
        <v>295</v>
      </c>
      <c r="C49" s="527"/>
      <c r="D49" s="527"/>
      <c r="E49" s="528"/>
      <c r="F49" s="529"/>
      <c r="G49" s="271">
        <f>D10</f>
        <v>4.0599999999999996</v>
      </c>
      <c r="H49" s="530"/>
      <c r="I49" s="489" t="s">
        <v>9</v>
      </c>
      <c r="J49" s="523"/>
      <c r="K49" s="271">
        <f>G10</f>
        <v>4.6698113207547172</v>
      </c>
    </row>
    <row r="50" spans="2:17" s="260" customFormat="1" ht="17.25" customHeight="1">
      <c r="B50" s="489" t="s">
        <v>296</v>
      </c>
      <c r="C50" s="527"/>
      <c r="D50" s="527"/>
      <c r="E50" s="522"/>
      <c r="F50" s="531"/>
      <c r="G50" s="272">
        <f>G49-G46</f>
        <v>2.8878175555555554</v>
      </c>
      <c r="H50" s="532"/>
      <c r="I50" s="489" t="s">
        <v>10</v>
      </c>
      <c r="J50" s="523"/>
      <c r="K50" s="272">
        <f>K49-G46</f>
        <v>3.497628876310273</v>
      </c>
    </row>
    <row r="51" spans="2:17" s="260" customFormat="1" ht="17.25" customHeight="1">
      <c r="B51" s="489" t="s">
        <v>410</v>
      </c>
      <c r="C51" s="527"/>
      <c r="D51" s="527"/>
      <c r="E51" s="522"/>
      <c r="F51" s="529"/>
      <c r="G51" s="272">
        <f>G50*$D8</f>
        <v>649.75894999999991</v>
      </c>
      <c r="H51" s="532"/>
      <c r="I51" s="489" t="s">
        <v>410</v>
      </c>
      <c r="J51" s="523"/>
      <c r="K51" s="272">
        <f>K50*$D8</f>
        <v>786.96649716981142</v>
      </c>
    </row>
    <row r="52" spans="2:17" s="260" customFormat="1" ht="17.25" customHeight="1">
      <c r="B52" s="489" t="s">
        <v>411</v>
      </c>
      <c r="C52" s="527"/>
      <c r="D52" s="527"/>
      <c r="E52" s="522"/>
      <c r="F52" s="529"/>
      <c r="G52" s="272">
        <f>G51/($C73*(1/60))</f>
        <v>135.36644791666666</v>
      </c>
      <c r="H52" s="532"/>
      <c r="I52" s="489" t="s">
        <v>411</v>
      </c>
      <c r="J52" s="523"/>
      <c r="K52" s="272">
        <f>K51/($C73*(1/60))</f>
        <v>163.95135357704405</v>
      </c>
    </row>
    <row r="53" spans="2:17" s="260" customFormat="1" ht="17.25" customHeight="1">
      <c r="B53" s="489" t="s">
        <v>297</v>
      </c>
      <c r="C53" s="527"/>
      <c r="D53" s="527"/>
      <c r="E53" s="522"/>
      <c r="F53" s="529"/>
      <c r="G53" s="16">
        <f>G50/$G$46</f>
        <v>2.4636246424286243</v>
      </c>
      <c r="H53" s="533"/>
      <c r="I53" s="489" t="s">
        <v>11</v>
      </c>
      <c r="J53" s="523"/>
      <c r="K53" s="16">
        <f>K50/$G$46</f>
        <v>2.9838604842507888</v>
      </c>
    </row>
    <row r="54" spans="2:17" s="260" customFormat="1" ht="17.25" customHeight="1" thickBot="1">
      <c r="B54" s="489" t="s">
        <v>12</v>
      </c>
      <c r="C54" s="527"/>
      <c r="D54" s="527"/>
      <c r="E54" s="522"/>
      <c r="F54" s="529"/>
      <c r="G54" s="273">
        <f>G49/$G$46</f>
        <v>3.4636246424286243</v>
      </c>
      <c r="H54" s="530"/>
      <c r="I54" s="489" t="s">
        <v>12</v>
      </c>
      <c r="J54" s="523"/>
      <c r="K54" s="273">
        <f>K49/$G$46</f>
        <v>3.9838604842507883</v>
      </c>
    </row>
    <row r="55" spans="2:17" ht="14.4">
      <c r="B55" s="489" t="s">
        <v>13</v>
      </c>
      <c r="C55" s="527"/>
      <c r="D55" s="527"/>
      <c r="E55" s="534"/>
      <c r="F55" s="535"/>
      <c r="G55" s="17">
        <f>G46/G49</f>
        <v>0.28871488779419818</v>
      </c>
      <c r="H55" s="488"/>
      <c r="I55" s="489" t="s">
        <v>13</v>
      </c>
      <c r="J55" s="523"/>
      <c r="K55" s="17">
        <f>G46/K49</f>
        <v>0.25101280628507294</v>
      </c>
      <c r="L55" s="260"/>
      <c r="M55" s="260"/>
      <c r="N55" s="260"/>
      <c r="O55" s="260"/>
      <c r="P55" s="260"/>
      <c r="Q55" s="260"/>
    </row>
    <row r="56" spans="2:17" ht="15.05" thickBot="1">
      <c r="B56" s="489" t="s">
        <v>403</v>
      </c>
      <c r="C56" s="488"/>
      <c r="D56" s="488"/>
      <c r="E56" s="488"/>
      <c r="F56" s="536"/>
      <c r="G56" s="274">
        <f ca="1">'4. CHARGES FIXES'!J18/(1-G55)</f>
        <v>73050.390517344262</v>
      </c>
      <c r="H56" s="488"/>
      <c r="I56" s="489" t="s">
        <v>405</v>
      </c>
      <c r="J56" s="488"/>
      <c r="K56" s="274">
        <f ca="1">'4. CHARGES FIXES'!J18/(1-K55)</f>
        <v>69373.222468718581</v>
      </c>
      <c r="L56" s="260"/>
      <c r="M56" s="260"/>
      <c r="N56" s="260"/>
      <c r="O56" s="260"/>
      <c r="P56" s="260"/>
      <c r="Q56" s="260"/>
    </row>
    <row r="57" spans="2:17" ht="15.05" thickBot="1">
      <c r="B57" s="537" t="s">
        <v>404</v>
      </c>
      <c r="C57" s="488"/>
      <c r="D57" s="488"/>
      <c r="E57" s="488"/>
      <c r="F57" s="536"/>
      <c r="G57" s="275">
        <f ca="1">G56/G49</f>
        <v>17992.707023976422</v>
      </c>
      <c r="H57" s="488"/>
      <c r="I57" s="489" t="s">
        <v>406</v>
      </c>
      <c r="J57" s="488"/>
      <c r="K57" s="275">
        <f ca="1">K56/K49</f>
        <v>14855.679962998322</v>
      </c>
      <c r="L57" s="260"/>
      <c r="M57" s="260"/>
      <c r="N57" s="260"/>
      <c r="O57" s="260"/>
      <c r="P57" s="260"/>
      <c r="Q57" s="260"/>
    </row>
    <row r="58" spans="2:17" ht="15.05" thickBot="1">
      <c r="B58" s="488"/>
      <c r="C58" s="488"/>
      <c r="D58" s="488"/>
      <c r="E58" s="488"/>
      <c r="F58" s="536"/>
      <c r="G58" s="488"/>
      <c r="H58" s="488"/>
      <c r="I58" s="488"/>
      <c r="J58" s="488"/>
      <c r="K58" s="521"/>
      <c r="L58" s="260"/>
      <c r="M58" s="260"/>
      <c r="N58" s="260"/>
      <c r="O58" s="260"/>
      <c r="P58" s="260"/>
      <c r="Q58" s="260"/>
    </row>
    <row r="59" spans="2:17" ht="13.15">
      <c r="B59" s="907" t="s">
        <v>298</v>
      </c>
      <c r="C59" s="908"/>
      <c r="D59" s="908"/>
      <c r="E59" s="908"/>
      <c r="F59" s="908"/>
      <c r="G59" s="908"/>
      <c r="H59" s="908"/>
      <c r="I59" s="908"/>
      <c r="J59" s="909"/>
      <c r="K59" s="521"/>
      <c r="L59" s="260"/>
      <c r="M59" s="260"/>
      <c r="N59" s="260"/>
      <c r="O59" s="260"/>
      <c r="P59" s="260"/>
      <c r="Q59" s="260"/>
    </row>
    <row r="60" spans="2:17" ht="13.15">
      <c r="B60" s="538" t="s">
        <v>41</v>
      </c>
      <c r="C60" s="538" t="s">
        <v>299</v>
      </c>
      <c r="D60" s="538" t="s">
        <v>168</v>
      </c>
      <c r="E60" s="538" t="s">
        <v>301</v>
      </c>
      <c r="F60" s="538" t="s">
        <v>169</v>
      </c>
      <c r="G60" s="538" t="s">
        <v>172</v>
      </c>
      <c r="H60" s="538" t="s">
        <v>170</v>
      </c>
      <c r="I60" s="538" t="s">
        <v>174</v>
      </c>
      <c r="J60" s="538" t="s">
        <v>179</v>
      </c>
      <c r="K60" s="488"/>
    </row>
    <row r="61" spans="2:17" ht="13.15">
      <c r="B61" s="539" t="s">
        <v>46</v>
      </c>
      <c r="C61" s="540">
        <v>20</v>
      </c>
      <c r="D61" s="540">
        <v>0</v>
      </c>
      <c r="E61" s="276">
        <f>C61+D61</f>
        <v>20</v>
      </c>
      <c r="F61" s="540"/>
      <c r="G61" s="540"/>
      <c r="H61" s="276">
        <f t="shared" ref="H61:H62" si="4">G61*D61/60</f>
        <v>0</v>
      </c>
      <c r="I61" s="541"/>
      <c r="J61" s="277" cm="1">
        <f t="array" ref="J61">_xlfn.IFS(I61=Listes!$C$2,'1. DONNEES DE BASE'!$B$2*H61,'FT_PROD (6)'!I61=Listes!$C$3,'1. DONNEES DE BASE'!$B$3*'FT_PROD (6)'!H61,TRUE,0)</f>
        <v>0</v>
      </c>
      <c r="K61" s="488"/>
    </row>
    <row r="62" spans="2:17" ht="13.15">
      <c r="B62" s="539" t="s">
        <v>45</v>
      </c>
      <c r="C62" s="540">
        <v>120</v>
      </c>
      <c r="D62" s="540">
        <v>0</v>
      </c>
      <c r="E62" s="276">
        <f t="shared" ref="E62:E72" si="5">C62+D62</f>
        <v>120</v>
      </c>
      <c r="F62" s="540"/>
      <c r="G62" s="540"/>
      <c r="H62" s="276">
        <f t="shared" si="4"/>
        <v>0</v>
      </c>
      <c r="I62" s="541"/>
      <c r="J62" s="277" cm="1">
        <f t="array" ref="J62">_xlfn.IFS(I62=Listes!$C$2,'1. DONNEES DE BASE'!$B$2*H62,'FT_PROD (6)'!I62=Listes!$C$3,'1. DONNEES DE BASE'!$B$3*'FT_PROD (6)'!H62,TRUE,0)</f>
        <v>0</v>
      </c>
      <c r="K62" s="488"/>
    </row>
    <row r="63" spans="2:17" ht="13.15">
      <c r="B63" s="539" t="s">
        <v>42</v>
      </c>
      <c r="C63" s="540">
        <v>10</v>
      </c>
      <c r="D63" s="542">
        <v>120</v>
      </c>
      <c r="E63" s="276">
        <f t="shared" si="5"/>
        <v>130</v>
      </c>
      <c r="F63" s="540" t="s">
        <v>173</v>
      </c>
      <c r="G63" s="540">
        <v>3</v>
      </c>
      <c r="H63" s="276">
        <f>G63*D63/60</f>
        <v>6</v>
      </c>
      <c r="I63" s="541" t="s">
        <v>175</v>
      </c>
      <c r="J63" s="277" cm="1">
        <f t="array" ref="J63">_xlfn.IFS(I63=Listes!$C$2,'1. DONNEES DE BASE'!$B$2*H63,'FT_PROD (6)'!I63=Listes!$C$3,'1. DONNEES DE BASE'!$B$3*'FT_PROD (6)'!H63,TRUE,0)</f>
        <v>0.48180000000000001</v>
      </c>
      <c r="K63" s="488"/>
    </row>
    <row r="64" spans="2:17" ht="13.15">
      <c r="B64" s="539" t="s">
        <v>43</v>
      </c>
      <c r="C64" s="540">
        <v>3</v>
      </c>
      <c r="D64" s="540">
        <v>0</v>
      </c>
      <c r="E64" s="276">
        <f t="shared" si="5"/>
        <v>3</v>
      </c>
      <c r="F64" s="540"/>
      <c r="G64" s="540"/>
      <c r="H64" s="276">
        <f t="shared" ref="H64:H72" si="6">G64*D64/60</f>
        <v>0</v>
      </c>
      <c r="I64" s="541"/>
      <c r="J64" s="277" cm="1">
        <f t="array" ref="J64">_xlfn.IFS(I64=Listes!$C$2,'1. DONNEES DE BASE'!$B$2*H64,'FT_PROD (6)'!I64=Listes!$C$3,'1. DONNEES DE BASE'!$B$3*'FT_PROD (6)'!H64,TRUE,0)</f>
        <v>0</v>
      </c>
      <c r="K64" s="488"/>
    </row>
    <row r="65" spans="2:11" ht="13.15">
      <c r="B65" s="539" t="s">
        <v>44</v>
      </c>
      <c r="C65" s="540">
        <v>15</v>
      </c>
      <c r="D65" s="542">
        <v>120</v>
      </c>
      <c r="E65" s="276">
        <f t="shared" si="5"/>
        <v>135</v>
      </c>
      <c r="F65" s="540"/>
      <c r="G65" s="540">
        <v>2</v>
      </c>
      <c r="H65" s="276">
        <f t="shared" si="6"/>
        <v>4</v>
      </c>
      <c r="I65" s="541" t="s">
        <v>176</v>
      </c>
      <c r="J65" s="277" cm="1">
        <f t="array" ref="J65">_xlfn.IFS(I65=Listes!$C$2,'1. DONNEES DE BASE'!$B$2*H65,'FT_PROD (6)'!I65=Listes!$C$3,'1. DONNEES DE BASE'!$B$3*'FT_PROD (6)'!H65,TRUE,0)</f>
        <v>0.8</v>
      </c>
      <c r="K65" s="488"/>
    </row>
    <row r="66" spans="2:11" ht="13.15">
      <c r="B66" s="539" t="s">
        <v>27</v>
      </c>
      <c r="C66" s="540">
        <v>120</v>
      </c>
      <c r="D66" s="540">
        <v>0</v>
      </c>
      <c r="E66" s="276">
        <f t="shared" si="5"/>
        <v>120</v>
      </c>
      <c r="F66" s="540"/>
      <c r="G66" s="540"/>
      <c r="H66" s="276">
        <f t="shared" si="6"/>
        <v>0</v>
      </c>
      <c r="I66" s="541"/>
      <c r="J66" s="277" cm="1">
        <f t="array" ref="J66">_xlfn.IFS(I66=Listes!$C$2,'1. DONNEES DE BASE'!$B$2*H66,'FT_PROD (6)'!I66=Listes!$C$3,'1. DONNEES DE BASE'!$B$3*'FT_PROD (6)'!H66,TRUE,0)</f>
        <v>0</v>
      </c>
      <c r="K66" s="488"/>
    </row>
    <row r="67" spans="2:11" ht="13.15">
      <c r="B67" s="543" t="s">
        <v>167</v>
      </c>
      <c r="C67" s="540">
        <v>0</v>
      </c>
      <c r="D67" s="540">
        <v>0</v>
      </c>
      <c r="E67" s="276">
        <f t="shared" si="5"/>
        <v>0</v>
      </c>
      <c r="F67" s="540"/>
      <c r="G67" s="540"/>
      <c r="H67" s="276">
        <f t="shared" si="6"/>
        <v>0</v>
      </c>
      <c r="I67" s="541"/>
      <c r="J67" s="277" cm="1">
        <f t="array" ref="J67">_xlfn.IFS(I67=Listes!$C$2,'1. DONNEES DE BASE'!$B$2*H67,'FT_PROD (6)'!I67=Listes!$C$3,'1. DONNEES DE BASE'!$B$3*'FT_PROD (6)'!H67,TRUE,0)</f>
        <v>0</v>
      </c>
      <c r="K67" s="488"/>
    </row>
    <row r="68" spans="2:11" ht="13.15">
      <c r="B68" s="543" t="s">
        <v>48</v>
      </c>
      <c r="C68" s="540">
        <v>0</v>
      </c>
      <c r="D68" s="540">
        <v>15</v>
      </c>
      <c r="E68" s="276">
        <f t="shared" si="5"/>
        <v>15</v>
      </c>
      <c r="F68" s="540" t="s">
        <v>171</v>
      </c>
      <c r="G68" s="540">
        <v>3.55</v>
      </c>
      <c r="H68" s="276">
        <f t="shared" si="6"/>
        <v>0.88749999999999996</v>
      </c>
      <c r="I68" s="541" t="s">
        <v>176</v>
      </c>
      <c r="J68" s="277" cm="1">
        <f t="array" ref="J68">_xlfn.IFS(I68=Listes!$C$2,'1. DONNEES DE BASE'!$B$2*H68,'FT_PROD (6)'!I68=Listes!$C$3,'1. DONNEES DE BASE'!$B$3*'FT_PROD (6)'!H68,TRUE,0)</f>
        <v>0.17749999999999999</v>
      </c>
      <c r="K68" s="488"/>
    </row>
    <row r="69" spans="2:11" ht="13.15">
      <c r="B69" s="543" t="s">
        <v>302</v>
      </c>
      <c r="C69" s="540">
        <v>0</v>
      </c>
      <c r="D69" s="540">
        <v>0</v>
      </c>
      <c r="E69" s="276">
        <f t="shared" si="5"/>
        <v>0</v>
      </c>
      <c r="F69" s="540"/>
      <c r="G69" s="540"/>
      <c r="H69" s="276">
        <f t="shared" si="6"/>
        <v>0</v>
      </c>
      <c r="I69" s="541"/>
      <c r="J69" s="277" cm="1">
        <f t="array" ref="J69">_xlfn.IFS(I69=Listes!$C$2,'1. DONNEES DE BASE'!$B$2*H69,'FT_PROD (6)'!I69=Listes!$C$3,'1. DONNEES DE BASE'!$B$3*'FT_PROD (6)'!H69,TRUE,0)</f>
        <v>0</v>
      </c>
      <c r="K69" s="488"/>
    </row>
    <row r="70" spans="2:11" ht="13.15">
      <c r="B70" s="543" t="s">
        <v>303</v>
      </c>
      <c r="C70" s="540">
        <v>0</v>
      </c>
      <c r="D70" s="540">
        <v>0</v>
      </c>
      <c r="E70" s="276">
        <f t="shared" si="5"/>
        <v>0</v>
      </c>
      <c r="F70" s="540"/>
      <c r="G70" s="540"/>
      <c r="H70" s="276">
        <f t="shared" si="6"/>
        <v>0</v>
      </c>
      <c r="I70" s="541"/>
      <c r="J70" s="277" cm="1">
        <f t="array" ref="J70">_xlfn.IFS(I70=Listes!$C$2,'1. DONNEES DE BASE'!$B$2*H70,'FT_PROD (6)'!I70=Listes!$C$3,'1. DONNEES DE BASE'!$B$3*'FT_PROD (6)'!H70,TRUE,0)</f>
        <v>0</v>
      </c>
      <c r="K70" s="488"/>
    </row>
    <row r="71" spans="2:11" ht="13.15">
      <c r="B71" s="543" t="s">
        <v>304</v>
      </c>
      <c r="C71" s="540">
        <v>0</v>
      </c>
      <c r="D71" s="540">
        <v>0</v>
      </c>
      <c r="E71" s="276">
        <f t="shared" si="5"/>
        <v>0</v>
      </c>
      <c r="F71" s="540"/>
      <c r="G71" s="540"/>
      <c r="H71" s="276">
        <f t="shared" si="6"/>
        <v>0</v>
      </c>
      <c r="I71" s="541"/>
      <c r="J71" s="277" cm="1">
        <f t="array" ref="J71">_xlfn.IFS(I71=Listes!$C$2,'1. DONNEES DE BASE'!$B$2*H71,'FT_PROD (6)'!I71=Listes!$C$3,'1. DONNEES DE BASE'!$B$3*'FT_PROD (6)'!H71,TRUE,0)</f>
        <v>0</v>
      </c>
      <c r="K71" s="488"/>
    </row>
    <row r="72" spans="2:11" ht="13.15">
      <c r="B72" s="543" t="s">
        <v>305</v>
      </c>
      <c r="C72" s="540">
        <v>0</v>
      </c>
      <c r="D72" s="540">
        <v>0</v>
      </c>
      <c r="E72" s="276">
        <f t="shared" si="5"/>
        <v>0</v>
      </c>
      <c r="F72" s="540"/>
      <c r="G72" s="540"/>
      <c r="H72" s="276">
        <f t="shared" si="6"/>
        <v>0</v>
      </c>
      <c r="I72" s="541"/>
      <c r="J72" s="277" cm="1">
        <f t="array" ref="J72">_xlfn.IFS(I72=Listes!$C$2,'1. DONNEES DE BASE'!$B$2*H72,'FT_PROD (6)'!I72=Listes!$C$3,'1. DONNEES DE BASE'!$B$3*'FT_PROD (6)'!H72,TRUE,0)</f>
        <v>0</v>
      </c>
      <c r="K72" s="488"/>
    </row>
    <row r="73" spans="2:11" ht="13.8" thickBot="1">
      <c r="B73" s="278" t="s">
        <v>47</v>
      </c>
      <c r="C73" s="279">
        <f>SUM(C61:C72)</f>
        <v>288</v>
      </c>
      <c r="D73" s="279">
        <f>SUM(D61:D72)</f>
        <v>255</v>
      </c>
      <c r="E73" s="279">
        <f>SUM(E61:E72)</f>
        <v>543</v>
      </c>
      <c r="F73" s="279"/>
      <c r="G73" s="279"/>
      <c r="H73" s="279">
        <f>SUM(H61:H72)</f>
        <v>10.887499999999999</v>
      </c>
      <c r="I73" s="279"/>
      <c r="J73" s="18">
        <f>SUMIF(J61:J72,"&lt;&gt;#N/A")</f>
        <v>1.4593</v>
      </c>
      <c r="K73" s="488"/>
    </row>
    <row r="74" spans="2:11">
      <c r="B74" s="488"/>
      <c r="C74" s="488"/>
      <c r="D74" s="488"/>
      <c r="E74" s="488"/>
      <c r="F74" s="488"/>
      <c r="G74" s="488"/>
      <c r="H74" s="488"/>
      <c r="I74" s="488"/>
      <c r="J74" s="488"/>
      <c r="K74" s="488"/>
    </row>
    <row r="75" spans="2:11">
      <c r="B75" s="488"/>
      <c r="C75" s="488"/>
      <c r="D75" s="488"/>
      <c r="E75" s="488"/>
      <c r="F75" s="488"/>
      <c r="G75" s="488"/>
      <c r="H75" s="488"/>
      <c r="I75" s="488"/>
      <c r="J75" s="488"/>
      <c r="K75" s="488"/>
    </row>
    <row r="76" spans="2:11">
      <c r="B76" s="544" t="s">
        <v>531</v>
      </c>
      <c r="C76" s="544"/>
      <c r="D76" s="488"/>
      <c r="E76" s="488"/>
      <c r="F76" s="488"/>
      <c r="G76" s="488"/>
      <c r="H76" s="488"/>
      <c r="I76" s="488"/>
      <c r="J76" s="488"/>
      <c r="K76" s="488"/>
    </row>
    <row r="77" spans="2:11" ht="13.15">
      <c r="B77" s="545" t="s">
        <v>532</v>
      </c>
      <c r="C77" s="280">
        <f>SUMIFS(G17:G32,C17:C32,"Auto")</f>
        <v>175</v>
      </c>
      <c r="D77" s="488"/>
      <c r="E77" s="488"/>
      <c r="F77" s="488"/>
      <c r="G77" s="488"/>
      <c r="H77" s="488"/>
      <c r="I77" s="488"/>
      <c r="J77" s="488"/>
      <c r="K77" s="488"/>
    </row>
    <row r="78" spans="2:11" ht="13.15">
      <c r="B78" s="545" t="s">
        <v>533</v>
      </c>
      <c r="C78" s="281">
        <f>C77/D8</f>
        <v>0.77777777777777779</v>
      </c>
      <c r="D78" s="488"/>
      <c r="E78" s="488"/>
      <c r="F78" s="488"/>
      <c r="G78" s="488"/>
      <c r="H78" s="488"/>
      <c r="I78" s="488"/>
      <c r="J78" s="488"/>
      <c r="K78" s="488"/>
    </row>
  </sheetData>
  <sheetProtection algorithmName="SHA-512" hashValue="InisYuKHOHfK64k7kKXu0y6WZ2aiSTJkf6sWYRsuDSZNW22php/T2OV84DoaxymqB1KTBcM9RneWnYzZg9K73w==" saltValue="MCsZV8wYE4PGErpXCEK9Bg==" spinCount="100000" sheet="1" objects="1" scenarios="1" sort="0" autoFilter="0"/>
  <protectedRanges>
    <protectedRange sqref="I61:I72" name="TYpe energie"/>
    <protectedRange sqref="C2:C3 D5:D6 D8 D10:D11 G11:G12" name="Données de base"/>
    <protectedRange sqref="I17:K32 I34:K42 B34:F42 B17:F32" name="Ingred et consommables"/>
    <protectedRange sqref="B61:D72 F61:G72" name="Energie et travail"/>
  </protectedRanges>
  <mergeCells count="17">
    <mergeCell ref="B33:F3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I16:K16"/>
    <mergeCell ref="B43:F43"/>
    <mergeCell ref="B44:F44"/>
    <mergeCell ref="B48:G48"/>
    <mergeCell ref="I48:K48"/>
    <mergeCell ref="B59:J59"/>
  </mergeCells>
  <dataValidations count="2">
    <dataValidation type="list" allowBlank="1" showInputMessage="1" showErrorMessage="1" errorTitle="Consommable invalide" error="Veuillez sélectionner un consommable dans la liste." sqref="B34:B42" xr:uid="{ABC105B2-C475-49FF-9B32-8FCEE9F5CB16}">
      <formula1>ListeConsommables</formula1>
    </dataValidation>
    <dataValidation type="list" allowBlank="1" showInputMessage="1" showErrorMessage="1" errorTitle="Ingrédient invalide" error="Veuillez sélectionner un ingrédient dans la liste." sqref="B17:B32" xr:uid="{4A6F15A3-2970-4E9B-9595-F376C915902B}">
      <formula1>ListeIngredients</formula1>
    </dataValidation>
  </dataValidations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30FC2F-49AF-4774-8016-4478B254E08A}">
          <x14:formula1>
            <xm:f>Listes!$C$2:$C$5</xm:f>
          </x14:formula1>
          <xm:sqref>I61:I63 I65:I72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466AD-6D60-4603-87BD-E90B534EE98B}">
  <sheetPr>
    <pageSetUpPr fitToPage="1"/>
  </sheetPr>
  <dimension ref="B1:Q78"/>
  <sheetViews>
    <sheetView showGridLines="0" zoomScale="85" zoomScaleNormal="85" workbookViewId="0">
      <selection activeCell="C4" sqref="C4"/>
    </sheetView>
  </sheetViews>
  <sheetFormatPr baseColWidth="10" defaultColWidth="11.44140625" defaultRowHeight="12.55"/>
  <cols>
    <col min="1" max="1" width="1.44140625" style="251" customWidth="1"/>
    <col min="2" max="2" width="23.109375" style="251" customWidth="1"/>
    <col min="3" max="3" width="20" style="251" customWidth="1"/>
    <col min="4" max="4" width="19" style="251" customWidth="1"/>
    <col min="5" max="5" width="13.6640625" style="251" bestFit="1" customWidth="1"/>
    <col min="6" max="6" width="23.21875" style="251" customWidth="1"/>
    <col min="7" max="7" width="14.5546875" style="251" customWidth="1"/>
    <col min="8" max="8" width="14.109375" style="251" customWidth="1"/>
    <col min="9" max="9" width="17.33203125" style="251" customWidth="1"/>
    <col min="10" max="10" width="16.6640625" style="251" customWidth="1"/>
    <col min="11" max="11" width="12.109375" style="251" customWidth="1"/>
    <col min="12" max="16384" width="11.44140625" style="251"/>
  </cols>
  <sheetData>
    <row r="1" spans="2:11" ht="47.3" customHeight="1">
      <c r="B1" s="485" t="s">
        <v>37</v>
      </c>
      <c r="C1" s="486"/>
      <c r="D1" s="486"/>
      <c r="E1" s="486"/>
      <c r="F1" s="486"/>
      <c r="G1" s="486"/>
      <c r="H1" s="486"/>
      <c r="I1" s="486"/>
      <c r="J1" s="487"/>
      <c r="K1" s="488"/>
    </row>
    <row r="2" spans="2:11" ht="16.3" customHeight="1">
      <c r="B2" s="489" t="s">
        <v>39</v>
      </c>
      <c r="C2" s="490" t="s">
        <v>564</v>
      </c>
      <c r="D2" s="491"/>
      <c r="E2" s="492"/>
      <c r="F2" s="486"/>
      <c r="G2" s="486"/>
      <c r="H2" s="486"/>
      <c r="I2" s="486"/>
      <c r="J2" s="488"/>
      <c r="K2" s="488"/>
    </row>
    <row r="3" spans="2:11" ht="18.8" customHeight="1">
      <c r="B3" s="489" t="s">
        <v>23</v>
      </c>
      <c r="C3" s="490" t="s">
        <v>565</v>
      </c>
      <c r="D3" s="491"/>
      <c r="E3" s="492"/>
      <c r="F3" s="486"/>
      <c r="G3" s="486"/>
      <c r="H3" s="486"/>
      <c r="I3" s="486"/>
      <c r="J3" s="488"/>
      <c r="K3" s="488"/>
    </row>
    <row r="4" spans="2:11" ht="18.8" customHeight="1">
      <c r="B4" s="493"/>
      <c r="C4" s="486"/>
      <c r="D4" s="486"/>
      <c r="E4" s="488"/>
      <c r="F4" s="486"/>
      <c r="G4" s="486"/>
      <c r="H4" s="905" t="s">
        <v>306</v>
      </c>
      <c r="I4" s="905"/>
      <c r="J4" s="905"/>
      <c r="K4" s="488"/>
    </row>
    <row r="5" spans="2:11" ht="19.899999999999999" customHeight="1">
      <c r="B5" s="489" t="s">
        <v>284</v>
      </c>
      <c r="C5" s="494"/>
      <c r="D5" s="495">
        <v>50</v>
      </c>
      <c r="E5" s="496"/>
      <c r="F5" s="497"/>
      <c r="G5" s="498"/>
      <c r="H5" s="906" t="s">
        <v>285</v>
      </c>
      <c r="I5" s="896"/>
      <c r="J5" s="896"/>
      <c r="K5" s="488"/>
    </row>
    <row r="6" spans="2:11" ht="19.899999999999999" customHeight="1">
      <c r="B6" s="489" t="s">
        <v>286</v>
      </c>
      <c r="C6" s="494"/>
      <c r="D6" s="499">
        <v>0.2</v>
      </c>
      <c r="E6" s="496"/>
      <c r="F6" s="497"/>
      <c r="G6" s="498"/>
      <c r="H6" s="896"/>
      <c r="I6" s="896"/>
      <c r="J6" s="896"/>
      <c r="K6" s="488"/>
    </row>
    <row r="7" spans="2:11" ht="19.899999999999999" customHeight="1">
      <c r="B7" s="489" t="s">
        <v>35</v>
      </c>
      <c r="C7" s="494"/>
      <c r="D7" s="252">
        <f>D5/D6</f>
        <v>250</v>
      </c>
      <c r="E7" s="496"/>
      <c r="F7" s="497"/>
      <c r="G7" s="498"/>
      <c r="H7" s="896"/>
      <c r="I7" s="896"/>
      <c r="J7" s="896"/>
      <c r="K7" s="488"/>
    </row>
    <row r="8" spans="2:11" ht="19.899999999999999" customHeight="1">
      <c r="B8" s="489" t="s">
        <v>36</v>
      </c>
      <c r="C8" s="494"/>
      <c r="D8" s="499">
        <v>225</v>
      </c>
      <c r="E8" s="496"/>
      <c r="F8" s="497"/>
      <c r="G8" s="498"/>
      <c r="H8" s="896" t="s">
        <v>287</v>
      </c>
      <c r="I8" s="896"/>
      <c r="J8" s="896"/>
      <c r="K8" s="488"/>
    </row>
    <row r="9" spans="2:11" ht="19.899999999999999" customHeight="1">
      <c r="B9" s="489" t="s">
        <v>34</v>
      </c>
      <c r="C9" s="494"/>
      <c r="D9" s="10">
        <f>1-(D8/D7)</f>
        <v>9.9999999999999978E-2</v>
      </c>
      <c r="E9" s="496"/>
      <c r="F9" s="497"/>
      <c r="G9" s="498"/>
      <c r="H9" s="896" t="s">
        <v>288</v>
      </c>
      <c r="I9" s="896"/>
      <c r="J9" s="896"/>
      <c r="K9" s="488"/>
    </row>
    <row r="10" spans="2:11" ht="19.899999999999999" customHeight="1">
      <c r="B10" s="489" t="s">
        <v>25</v>
      </c>
      <c r="C10" s="494"/>
      <c r="D10" s="500">
        <v>4.0599999999999996</v>
      </c>
      <c r="E10" s="489" t="s">
        <v>32</v>
      </c>
      <c r="F10" s="501"/>
      <c r="G10" s="253">
        <f>G12/(1+G11)</f>
        <v>4.6698113207547172</v>
      </c>
      <c r="H10" s="896"/>
      <c r="I10" s="896"/>
      <c r="J10" s="896"/>
      <c r="K10" s="488"/>
    </row>
    <row r="11" spans="2:11" ht="19.899999999999999" customHeight="1">
      <c r="B11" s="489" t="s">
        <v>3</v>
      </c>
      <c r="C11" s="494"/>
      <c r="D11" s="502">
        <v>0.06</v>
      </c>
      <c r="E11" s="489" t="s">
        <v>3</v>
      </c>
      <c r="F11" s="501"/>
      <c r="G11" s="503">
        <v>0.06</v>
      </c>
      <c r="H11" s="896"/>
      <c r="I11" s="896"/>
      <c r="J11" s="896"/>
      <c r="K11" s="488"/>
    </row>
    <row r="12" spans="2:11" ht="19.899999999999999" customHeight="1">
      <c r="B12" s="489" t="s">
        <v>33</v>
      </c>
      <c r="C12" s="494"/>
      <c r="D12" s="254">
        <f>D10*(1+D11)</f>
        <v>4.3035999999999994</v>
      </c>
      <c r="E12" s="489" t="s">
        <v>24</v>
      </c>
      <c r="F12" s="501"/>
      <c r="G12" s="504">
        <v>4.95</v>
      </c>
      <c r="H12" s="896"/>
      <c r="I12" s="896"/>
      <c r="J12" s="896"/>
      <c r="K12" s="488"/>
    </row>
    <row r="13" spans="2:11" ht="19.899999999999999" customHeight="1">
      <c r="B13" s="489" t="s">
        <v>289</v>
      </c>
      <c r="C13" s="494"/>
      <c r="D13" s="10">
        <f>G10/D10-1</f>
        <v>0.15019983269820636</v>
      </c>
      <c r="E13" s="505"/>
      <c r="F13" s="505"/>
      <c r="G13" s="505"/>
      <c r="H13" s="896" t="s">
        <v>290</v>
      </c>
      <c r="I13" s="896"/>
      <c r="J13" s="896"/>
      <c r="K13" s="488"/>
    </row>
    <row r="14" spans="2:11" ht="18.8" customHeight="1">
      <c r="B14" s="505"/>
      <c r="C14" s="505"/>
      <c r="D14" s="505"/>
      <c r="E14" s="505"/>
      <c r="F14" s="505"/>
      <c r="G14" s="505"/>
      <c r="H14" s="505"/>
      <c r="I14" s="505"/>
      <c r="J14" s="488"/>
      <c r="K14" s="488"/>
    </row>
    <row r="15" spans="2:11" ht="6.75" customHeight="1" thickBot="1">
      <c r="B15" s="488"/>
      <c r="C15" s="488"/>
      <c r="D15" s="488"/>
      <c r="E15" s="488"/>
      <c r="F15" s="488"/>
      <c r="G15" s="488"/>
      <c r="H15" s="488"/>
      <c r="I15" s="488"/>
      <c r="J15" s="488"/>
      <c r="K15" s="488"/>
    </row>
    <row r="16" spans="2:11" s="255" customFormat="1" ht="45.1" customHeight="1">
      <c r="B16" s="506" t="s">
        <v>4</v>
      </c>
      <c r="C16" s="507" t="s">
        <v>5</v>
      </c>
      <c r="D16" s="508" t="s">
        <v>6</v>
      </c>
      <c r="E16" s="508" t="s">
        <v>7</v>
      </c>
      <c r="F16" s="508" t="s">
        <v>8</v>
      </c>
      <c r="G16" s="508" t="s">
        <v>300</v>
      </c>
      <c r="H16" s="509" t="s">
        <v>30</v>
      </c>
      <c r="I16" s="899" t="s">
        <v>22</v>
      </c>
      <c r="J16" s="899"/>
      <c r="K16" s="900"/>
    </row>
    <row r="17" spans="2:11" s="260" customFormat="1" ht="17.25" customHeight="1">
      <c r="B17" s="477" t="s">
        <v>14</v>
      </c>
      <c r="C17" s="256" t="str">
        <f>IF(ISBLANK(B17),"",_xlfn.XLOOKUP(B17,tblIngredients[Article],tblIngredients[Fournisseur],""))</f>
        <v>Auto</v>
      </c>
      <c r="D17" s="257" t="str">
        <f>IF(ISBLANK(B17),"",_xlfn.XLOOKUP(B17,tblIngredients[Article],tblIngredients[Unité conditionnement],""))</f>
        <v>1 kg</v>
      </c>
      <c r="E17" s="258">
        <f>IF(ISBLANK(B17),"",_xlfn.XLOOKUP(B17,tblIngredients[Article],tblIngredients[Coût d''achat HTVA  à l''unité],""))</f>
        <v>3.5</v>
      </c>
      <c r="F17" s="510">
        <v>50</v>
      </c>
      <c r="G17" s="259">
        <f>IF(OR(F17="",ISBLANK(F17)),"",E17*F17)</f>
        <v>175</v>
      </c>
      <c r="H17" s="11">
        <f>IF(OR(G17="",ISBLANK(G17)),"",G17/G$33)</f>
        <v>0.92115565556674106</v>
      </c>
      <c r="I17" s="511" t="s">
        <v>291</v>
      </c>
      <c r="J17" s="512"/>
      <c r="K17" s="513"/>
    </row>
    <row r="18" spans="2:11" s="260" customFormat="1" ht="17.25" customHeight="1">
      <c r="B18" s="477" t="s">
        <v>15</v>
      </c>
      <c r="C18" s="256" t="str">
        <f>IF(ISBLANK(B18),"",_xlfn.XLOOKUP(B18,tblIngredients[Article],tblIngredients[Fournisseur],""))</f>
        <v>Inbterbio</v>
      </c>
      <c r="D18" s="257" t="str">
        <f>IF(ISBLANK(B18),"",_xlfn.XLOOKUP(B18,tblIngredients[Article],tblIngredients[Unité conditionnement],""))</f>
        <v>1 kg</v>
      </c>
      <c r="E18" s="258">
        <f>IF(ISBLANK(B18),"",_xlfn.XLOOKUP(B18,tblIngredients[Article],tblIngredients[Coût d''achat HTVA  à l''unité],""))</f>
        <v>6</v>
      </c>
      <c r="F18" s="510">
        <v>0.5</v>
      </c>
      <c r="G18" s="259">
        <f t="shared" ref="G18:G32" si="0">IF(OR(F18="",ISBLANK(F18)),"",E18*F18)</f>
        <v>3</v>
      </c>
      <c r="H18" s="11">
        <f t="shared" ref="H18:H32" si="1">IF(OR(G18="",ISBLANK(G18)),"",G18/G$33)</f>
        <v>1.5791239809715561E-2</v>
      </c>
      <c r="I18" s="514"/>
      <c r="J18" s="512"/>
      <c r="K18" s="513"/>
    </row>
    <row r="19" spans="2:11" s="260" customFormat="1" ht="17.25" customHeight="1">
      <c r="B19" s="477" t="s">
        <v>16</v>
      </c>
      <c r="C19" s="256" t="str">
        <f>IF(ISBLANK(B19),"",_xlfn.XLOOKUP(B19,tblIngredients[Article],tblIngredients[Fournisseur],""))</f>
        <v>Interbio</v>
      </c>
      <c r="D19" s="257" t="str">
        <f>IF(ISBLANK(B19),"",_xlfn.XLOOKUP(B19,tblIngredients[Article],tblIngredients[Unité conditionnement],""))</f>
        <v>1 Botte</v>
      </c>
      <c r="E19" s="258">
        <f>IF(ISBLANK(B19),"",_xlfn.XLOOKUP(B19,tblIngredients[Article],tblIngredients[Coût d''achat HTVA  à l''unité],""))</f>
        <v>1.89</v>
      </c>
      <c r="F19" s="510">
        <v>4</v>
      </c>
      <c r="G19" s="259">
        <f t="shared" si="0"/>
        <v>7.56</v>
      </c>
      <c r="H19" s="11">
        <f t="shared" si="1"/>
        <v>3.9793924320483211E-2</v>
      </c>
      <c r="I19" s="514"/>
      <c r="J19" s="512"/>
      <c r="K19" s="513"/>
    </row>
    <row r="20" spans="2:11" s="260" customFormat="1" ht="17.25" customHeight="1">
      <c r="B20" s="477" t="s">
        <v>17</v>
      </c>
      <c r="C20" s="256" t="str">
        <f>IF(ISBLANK(B20),"",_xlfn.XLOOKUP(B20,tblIngredients[Article],tblIngredients[Fournisseur],""))</f>
        <v>Solucious</v>
      </c>
      <c r="D20" s="257" t="str">
        <f>IF(ISBLANK(B20),"",_xlfn.XLOOKUP(B20,tblIngredients[Article],tblIngredients[Unité conditionnement],""))</f>
        <v>1 L</v>
      </c>
      <c r="E20" s="258">
        <f>IF(ISBLANK(B20),"",_xlfn.XLOOKUP(B20,tblIngredients[Article],tblIngredients[Coût d''achat HTVA  à l''unité],""))</f>
        <v>17.649999999999999</v>
      </c>
      <c r="F20" s="510">
        <v>0.25</v>
      </c>
      <c r="G20" s="259">
        <f t="shared" si="0"/>
        <v>4.4124999999999996</v>
      </c>
      <c r="H20" s="11">
        <f t="shared" si="1"/>
        <v>2.3226281886789969E-2</v>
      </c>
      <c r="I20" s="514"/>
      <c r="J20" s="512"/>
      <c r="K20" s="513"/>
    </row>
    <row r="21" spans="2:11" s="260" customFormat="1" ht="17.25" customHeight="1">
      <c r="B21" s="477" t="s">
        <v>391</v>
      </c>
      <c r="C21" s="256" t="str">
        <f>IF(ISBLANK(B21),"",_xlfn.XLOOKUP(B21,tblIngredients[Article],tblIngredients[Fournisseur],""))</f>
        <v>Solucious</v>
      </c>
      <c r="D21" s="257" t="str">
        <f>IF(ISBLANK(B21),"",_xlfn.XLOOKUP(B21,tblIngredients[Article],tblIngredients[Unité conditionnement],""))</f>
        <v>1 Kg</v>
      </c>
      <c r="E21" s="258">
        <f>IF(ISBLANK(B21),"",_xlfn.XLOOKUP(B21,tblIngredients[Article],tblIngredients[Coût d''achat HTVA  à l''unité],""))</f>
        <v>6.25</v>
      </c>
      <c r="F21" s="510">
        <v>1E-3</v>
      </c>
      <c r="G21" s="259">
        <f t="shared" si="0"/>
        <v>6.2500000000000003E-3</v>
      </c>
      <c r="H21" s="11">
        <f t="shared" si="1"/>
        <v>3.2898416270240753E-5</v>
      </c>
      <c r="I21" s="514"/>
      <c r="J21" s="512"/>
      <c r="K21" s="513"/>
    </row>
    <row r="22" spans="2:11" s="260" customFormat="1" ht="17.25" customHeight="1">
      <c r="B22" s="477"/>
      <c r="C22" s="256" t="str">
        <f>IF(ISBLANK(B22),"",_xlfn.XLOOKUP(B22,tblIngredients[Article],tblIngredients[Fournisseur],""))</f>
        <v/>
      </c>
      <c r="D22" s="257" t="str">
        <f>IF(ISBLANK(B22),"",_xlfn.XLOOKUP(B22,tblIngredients[Article],tblIngredients[Unité conditionnement],""))</f>
        <v/>
      </c>
      <c r="E22" s="258" t="str">
        <f>IF(ISBLANK(B22),"",_xlfn.XLOOKUP(B22,tblIngredients[Article],tblIngredients[Coût d''achat HTVA  à l''unité],""))</f>
        <v/>
      </c>
      <c r="F22" s="510"/>
      <c r="G22" s="259" t="str">
        <f t="shared" si="0"/>
        <v/>
      </c>
      <c r="H22" s="11" t="str">
        <f t="shared" si="1"/>
        <v/>
      </c>
      <c r="I22" s="514"/>
      <c r="J22" s="512"/>
      <c r="K22" s="513"/>
    </row>
    <row r="23" spans="2:11" s="260" customFormat="1" ht="17.25" customHeight="1">
      <c r="B23" s="477"/>
      <c r="C23" s="256" t="str">
        <f>IF(ISBLANK(B23),"",_xlfn.XLOOKUP(B23,tblIngredients[Article],tblIngredients[Fournisseur],""))</f>
        <v/>
      </c>
      <c r="D23" s="257" t="str">
        <f>IF(ISBLANK(B23),"",_xlfn.XLOOKUP(B23,tblIngredients[Article],tblIngredients[Unité conditionnement],""))</f>
        <v/>
      </c>
      <c r="E23" s="258" t="str">
        <f>IF(ISBLANK(B23),"",_xlfn.XLOOKUP(B23,tblIngredients[Article],tblIngredients[Coût d''achat HTVA  à l''unité],""))</f>
        <v/>
      </c>
      <c r="F23" s="510"/>
      <c r="G23" s="259" t="str">
        <f t="shared" si="0"/>
        <v/>
      </c>
      <c r="H23" s="11" t="str">
        <f t="shared" si="1"/>
        <v/>
      </c>
      <c r="I23" s="514"/>
      <c r="J23" s="512"/>
      <c r="K23" s="513"/>
    </row>
    <row r="24" spans="2:11" s="260" customFormat="1" ht="17.25" customHeight="1">
      <c r="B24" s="477"/>
      <c r="C24" s="256" t="str">
        <f>IF(ISBLANK(B24),"",_xlfn.XLOOKUP(B24,tblIngredients[Article],tblIngredients[Fournisseur],""))</f>
        <v/>
      </c>
      <c r="D24" s="257" t="str">
        <f>IF(ISBLANK(B24),"",_xlfn.XLOOKUP(B24,tblIngredients[Article],tblIngredients[Unité conditionnement],""))</f>
        <v/>
      </c>
      <c r="E24" s="258" t="str">
        <f>IF(ISBLANK(B24),"",_xlfn.XLOOKUP(B24,tblIngredients[Article],tblIngredients[Coût d''achat HTVA  à l''unité],""))</f>
        <v/>
      </c>
      <c r="F24" s="510"/>
      <c r="G24" s="259" t="str">
        <f t="shared" si="0"/>
        <v/>
      </c>
      <c r="H24" s="11" t="str">
        <f t="shared" si="1"/>
        <v/>
      </c>
      <c r="I24" s="514"/>
      <c r="J24" s="512"/>
      <c r="K24" s="513"/>
    </row>
    <row r="25" spans="2:11" s="260" customFormat="1" ht="17.25" customHeight="1">
      <c r="B25" s="477"/>
      <c r="C25" s="256" t="str">
        <f>IF(ISBLANK(B25),"",_xlfn.XLOOKUP(B25,tblIngredients[Article],tblIngredients[Fournisseur],""))</f>
        <v/>
      </c>
      <c r="D25" s="257" t="str">
        <f>IF(ISBLANK(B25),"",_xlfn.XLOOKUP(B25,tblIngredients[Article],tblIngredients[Unité conditionnement],""))</f>
        <v/>
      </c>
      <c r="E25" s="258" t="str">
        <f>IF(ISBLANK(B25),"",_xlfn.XLOOKUP(B25,tblIngredients[Article],tblIngredients[Coût d''achat HTVA  à l''unité],""))</f>
        <v/>
      </c>
      <c r="F25" s="510"/>
      <c r="G25" s="259" t="str">
        <f t="shared" si="0"/>
        <v/>
      </c>
      <c r="H25" s="11" t="str">
        <f t="shared" si="1"/>
        <v/>
      </c>
      <c r="I25" s="514"/>
      <c r="J25" s="512"/>
      <c r="K25" s="513"/>
    </row>
    <row r="26" spans="2:11" s="260" customFormat="1" ht="17.25" customHeight="1">
      <c r="B26" s="477"/>
      <c r="C26" s="256" t="str">
        <f>IF(ISBLANK(B26),"",_xlfn.XLOOKUP(B26,tblIngredients[Article],tblIngredients[Fournisseur],""))</f>
        <v/>
      </c>
      <c r="D26" s="257" t="str">
        <f>IF(ISBLANK(B26),"",_xlfn.XLOOKUP(B26,tblIngredients[Article],tblIngredients[Unité conditionnement],""))</f>
        <v/>
      </c>
      <c r="E26" s="258" t="str">
        <f>IF(ISBLANK(B26),"",_xlfn.XLOOKUP(B26,tblIngredients[Article],tblIngredients[Coût d''achat HTVA  à l''unité],""))</f>
        <v/>
      </c>
      <c r="F26" s="510"/>
      <c r="G26" s="259" t="str">
        <f t="shared" si="0"/>
        <v/>
      </c>
      <c r="H26" s="11" t="str">
        <f t="shared" si="1"/>
        <v/>
      </c>
      <c r="I26" s="514"/>
      <c r="J26" s="512"/>
      <c r="K26" s="513"/>
    </row>
    <row r="27" spans="2:11" s="260" customFormat="1" ht="17.25" customHeight="1">
      <c r="B27" s="477"/>
      <c r="C27" s="256" t="str">
        <f>IF(ISBLANK(B27),"",_xlfn.XLOOKUP(B27,tblIngredients[Article],tblIngredients[Fournisseur],""))</f>
        <v/>
      </c>
      <c r="D27" s="257" t="str">
        <f>IF(ISBLANK(B27),"",_xlfn.XLOOKUP(B27,tblIngredients[Article],tblIngredients[Unité conditionnement],""))</f>
        <v/>
      </c>
      <c r="E27" s="258" t="str">
        <f>IF(ISBLANK(B27),"",_xlfn.XLOOKUP(B27,tblIngredients[Article],tblIngredients[Coût d''achat HTVA  à l''unité],""))</f>
        <v/>
      </c>
      <c r="F27" s="510"/>
      <c r="G27" s="259" t="str">
        <f t="shared" si="0"/>
        <v/>
      </c>
      <c r="H27" s="11" t="str">
        <f t="shared" si="1"/>
        <v/>
      </c>
      <c r="I27" s="514"/>
      <c r="J27" s="512"/>
      <c r="K27" s="513"/>
    </row>
    <row r="28" spans="2:11" s="260" customFormat="1" ht="17.25" customHeight="1">
      <c r="B28" s="477"/>
      <c r="C28" s="256"/>
      <c r="D28" s="257"/>
      <c r="E28" s="258"/>
      <c r="F28" s="510"/>
      <c r="G28" s="259"/>
      <c r="H28" s="11"/>
      <c r="I28" s="514"/>
      <c r="J28" s="512"/>
      <c r="K28" s="513"/>
    </row>
    <row r="29" spans="2:11" s="260" customFormat="1" ht="17.25" customHeight="1">
      <c r="B29" s="477"/>
      <c r="C29" s="256" t="str">
        <f>IF(ISBLANK(B29),"",_xlfn.XLOOKUP(B29,tblIngredients[Article],tblIngredients[Fournisseur],""))</f>
        <v/>
      </c>
      <c r="D29" s="257" t="str">
        <f>IF(ISBLANK(B29),"",_xlfn.XLOOKUP(B29,tblIngredients[Article],tblIngredients[Unité conditionnement],""))</f>
        <v/>
      </c>
      <c r="E29" s="258" t="str">
        <f>IF(ISBLANK(B29),"",_xlfn.XLOOKUP(B29,tblIngredients[Article],tblIngredients[Coût d''achat HTVA  à l''unité],""))</f>
        <v/>
      </c>
      <c r="F29" s="510"/>
      <c r="G29" s="259" t="str">
        <f t="shared" si="0"/>
        <v/>
      </c>
      <c r="H29" s="11" t="str">
        <f t="shared" si="1"/>
        <v/>
      </c>
      <c r="I29" s="514"/>
      <c r="J29" s="512"/>
      <c r="K29" s="513"/>
    </row>
    <row r="30" spans="2:11" s="260" customFormat="1" ht="17.25" customHeight="1">
      <c r="B30" s="477"/>
      <c r="C30" s="256" t="str">
        <f>IF(ISBLANK(B30),"",_xlfn.XLOOKUP(B30,tblIngredients[Article],tblIngredients[Fournisseur],""))</f>
        <v/>
      </c>
      <c r="D30" s="257" t="str">
        <f>IF(ISBLANK(B30),"",_xlfn.XLOOKUP(B30,tblIngredients[Article],tblIngredients[Unité conditionnement],""))</f>
        <v/>
      </c>
      <c r="E30" s="258" t="str">
        <f>IF(ISBLANK(B30),"",_xlfn.XLOOKUP(B30,tblIngredients[Article],tblIngredients[Coût d''achat HTVA  à l''unité],""))</f>
        <v/>
      </c>
      <c r="F30" s="510"/>
      <c r="G30" s="259" t="str">
        <f t="shared" si="0"/>
        <v/>
      </c>
      <c r="H30" s="11" t="str">
        <f t="shared" si="1"/>
        <v/>
      </c>
      <c r="I30" s="514"/>
      <c r="J30" s="512"/>
      <c r="K30" s="513"/>
    </row>
    <row r="31" spans="2:11" s="260" customFormat="1" ht="17.25" customHeight="1">
      <c r="B31" s="477"/>
      <c r="C31" s="256" t="str">
        <f>IF(ISBLANK(B31),"",_xlfn.XLOOKUP(B31,tblIngredients[Article],tblIngredients[Fournisseur],""))</f>
        <v/>
      </c>
      <c r="D31" s="257" t="str">
        <f>IF(ISBLANK(B31),"",_xlfn.XLOOKUP(B31,tblIngredients[Article],tblIngredients[Unité conditionnement],""))</f>
        <v/>
      </c>
      <c r="E31" s="258" t="str">
        <f>IF(ISBLANK(B31),"",_xlfn.XLOOKUP(B31,tblIngredients[Article],tblIngredients[Coût d''achat HTVA  à l''unité],""))</f>
        <v/>
      </c>
      <c r="F31" s="510"/>
      <c r="G31" s="259" t="str">
        <f t="shared" si="0"/>
        <v/>
      </c>
      <c r="H31" s="11" t="str">
        <f t="shared" si="1"/>
        <v/>
      </c>
      <c r="I31" s="514"/>
      <c r="J31" s="512"/>
      <c r="K31" s="513"/>
    </row>
    <row r="32" spans="2:11" s="260" customFormat="1" ht="17.25" customHeight="1">
      <c r="B32" s="477"/>
      <c r="C32" s="256" t="str">
        <f>IF(ISBLANK(B32),"",_xlfn.XLOOKUP(B32,tblIngredients[Article],tblIngredients[Fournisseur],""))</f>
        <v/>
      </c>
      <c r="D32" s="257" t="str">
        <f>IF(ISBLANK(B32),"",_xlfn.XLOOKUP(B32,tblIngredients[Article],tblIngredients[Unité conditionnement],""))</f>
        <v/>
      </c>
      <c r="E32" s="258" t="str">
        <f>IF(ISBLANK(B32),"",_xlfn.XLOOKUP(B32,tblIngredients[Article],tblIngredients[Coût d''achat HTVA  à l''unité],""))</f>
        <v/>
      </c>
      <c r="F32" s="510"/>
      <c r="G32" s="259" t="str">
        <f t="shared" si="0"/>
        <v/>
      </c>
      <c r="H32" s="11" t="str">
        <f t="shared" si="1"/>
        <v/>
      </c>
      <c r="I32" s="514"/>
      <c r="J32" s="512"/>
      <c r="K32" s="513"/>
    </row>
    <row r="33" spans="2:11" s="260" customFormat="1" ht="17.25" customHeight="1">
      <c r="B33" s="904" t="s">
        <v>29</v>
      </c>
      <c r="C33" s="904"/>
      <c r="D33" s="904"/>
      <c r="E33" s="904"/>
      <c r="F33" s="904"/>
      <c r="G33" s="261">
        <f>SUM(G17:G32)</f>
        <v>189.97874999999999</v>
      </c>
      <c r="H33" s="12">
        <f>IF(G33="","",G33/G$45)</f>
        <v>0.72032302138783477</v>
      </c>
      <c r="I33" s="262"/>
      <c r="J33" s="263"/>
      <c r="K33" s="264"/>
    </row>
    <row r="34" spans="2:11" s="260" customFormat="1" ht="17.25" customHeight="1">
      <c r="B34" s="477" t="s">
        <v>19</v>
      </c>
      <c r="C34" s="256" t="str">
        <f>IF(ISBLANK(B34),"",_xlfn.XLOOKUP(B34,tblConsommables[Article],tblConsommables[Fournisseur],""))</f>
        <v>Grossiste</v>
      </c>
      <c r="D34" s="257" t="str">
        <f>IF(ISBLANK(B34),"",_xlfn.XLOOKUP(B34,tblConsommables[Article],tblConsommables[Unité conditionnement],""))</f>
        <v>Unité</v>
      </c>
      <c r="E34" s="258">
        <f>IF(ISBLANK(B34),"",_xlfn.XLOOKUP(B34,tblConsommables[Article],tblConsommables[Coût d''achat HTVA  à l''unité],""))</f>
        <v>0.154</v>
      </c>
      <c r="F34" s="515">
        <v>230</v>
      </c>
      <c r="G34" s="265">
        <f>IF(OR(F34="",ISBLANK(F34)),"",E34*F34)</f>
        <v>35.42</v>
      </c>
      <c r="H34" s="13">
        <f>IF(OR(G34="",ISBLANK(G34)),"",G34/G$43)</f>
        <v>0.48988285410010646</v>
      </c>
      <c r="I34" s="514"/>
      <c r="J34" s="512"/>
      <c r="K34" s="516"/>
    </row>
    <row r="35" spans="2:11" s="260" customFormat="1" ht="17.25" customHeight="1">
      <c r="B35" s="477" t="s">
        <v>38</v>
      </c>
      <c r="C35" s="256" t="str">
        <f>IF(ISBLANK(B35),"",_xlfn.XLOOKUP(B35,tblConsommables[Article],tblConsommables[Fournisseur],""))</f>
        <v>Grossiste</v>
      </c>
      <c r="D35" s="257" t="str">
        <f>IF(ISBLANK(B35),"",_xlfn.XLOOKUP(B35,tblConsommables[Article],tblConsommables[Unité conditionnement],""))</f>
        <v>Unité</v>
      </c>
      <c r="E35" s="258">
        <f>IF(ISBLANK(B35),"",_xlfn.XLOOKUP(B35,tblConsommables[Article],tblConsommables[Coût d''achat HTVA  à l''unité],""))</f>
        <v>0.12</v>
      </c>
      <c r="F35" s="515">
        <v>250</v>
      </c>
      <c r="G35" s="265">
        <f t="shared" ref="G35:G42" si="2">IF(OR(F35="",ISBLANK(F35)),"",E35*F35)</f>
        <v>30</v>
      </c>
      <c r="H35" s="13">
        <f t="shared" ref="H35:H42" si="3">IF(OR(G35="",ISBLANK(G35)),"",G35/G$43)</f>
        <v>0.41492054271606982</v>
      </c>
      <c r="I35" s="514"/>
      <c r="J35" s="512"/>
      <c r="K35" s="516"/>
    </row>
    <row r="36" spans="2:11" s="260" customFormat="1" ht="17.25" customHeight="1">
      <c r="B36" s="477" t="s">
        <v>27</v>
      </c>
      <c r="C36" s="256" t="str">
        <f>IF(ISBLANK(B36),"",_xlfn.XLOOKUP(B36,tblConsommables[Article],tblConsommables[Fournisseur],""))</f>
        <v>Grossiste</v>
      </c>
      <c r="D36" s="257" t="str">
        <f>IF(ISBLANK(B36),"",_xlfn.XLOOKUP(B36,tblConsommables[Article],tblConsommables[Unité conditionnement],""))</f>
        <v>Rack de 1000</v>
      </c>
      <c r="E36" s="258">
        <f>IF(ISBLANK(B36),"",_xlfn.XLOOKUP(B36,tblConsommables[Article],tblConsommables[Coût d''achat HTVA  à l''unité],""))</f>
        <v>27.3</v>
      </c>
      <c r="F36" s="515">
        <v>0.25</v>
      </c>
      <c r="G36" s="265">
        <f t="shared" si="2"/>
        <v>6.8250000000000002</v>
      </c>
      <c r="H36" s="13">
        <f t="shared" si="3"/>
        <v>9.4394423467905886E-2</v>
      </c>
      <c r="I36" s="514"/>
      <c r="J36" s="512"/>
      <c r="K36" s="516"/>
    </row>
    <row r="37" spans="2:11" s="260" customFormat="1" ht="17.25" customHeight="1">
      <c r="B37" s="477" t="s">
        <v>402</v>
      </c>
      <c r="C37" s="256" t="str">
        <f>IF(ISBLANK(B37),"",_xlfn.XLOOKUP(B37,tblConsommables[Article],tblConsommables[Fournisseur],""))</f>
        <v>Grossiste</v>
      </c>
      <c r="D37" s="257" t="str">
        <f>IF(ISBLANK(B37),"",_xlfn.XLOOKUP(B37,tblConsommables[Article],tblConsommables[Unité conditionnement],""))</f>
        <v>Rack de 1000</v>
      </c>
      <c r="E37" s="258">
        <f>IF(ISBLANK(B37),"",_xlfn.XLOOKUP(B37,tblConsommables[Article],tblConsommables[Coût d''achat HTVA  à l''unité],""))</f>
        <v>58</v>
      </c>
      <c r="F37" s="515">
        <v>1E-3</v>
      </c>
      <c r="G37" s="265">
        <f t="shared" si="2"/>
        <v>5.8000000000000003E-2</v>
      </c>
      <c r="H37" s="13">
        <f t="shared" si="3"/>
        <v>8.0217971591773501E-4</v>
      </c>
      <c r="I37" s="514"/>
      <c r="J37" s="512"/>
      <c r="K37" s="516"/>
    </row>
    <row r="38" spans="2:11" s="260" customFormat="1" ht="17.25" customHeight="1">
      <c r="B38" s="477"/>
      <c r="C38" s="256" t="str">
        <f>IF(ISBLANK(B38),"",_xlfn.XLOOKUP(B38,tblConsommables[Article],tblConsommables[Fournisseur],""))</f>
        <v/>
      </c>
      <c r="D38" s="257" t="str">
        <f>IF(ISBLANK(B38),"",_xlfn.XLOOKUP(B38,tblConsommables[Article],tblConsommables[Unité conditionnement],""))</f>
        <v/>
      </c>
      <c r="E38" s="258" t="str">
        <f>IF(ISBLANK(B38),"",_xlfn.XLOOKUP(B38,tblConsommables[Article],tblConsommables[Coût d''achat HTVA  à l''unité],""))</f>
        <v/>
      </c>
      <c r="F38" s="515"/>
      <c r="G38" s="265" t="str">
        <f t="shared" si="2"/>
        <v/>
      </c>
      <c r="H38" s="13" t="str">
        <f t="shared" si="3"/>
        <v/>
      </c>
      <c r="I38" s="514"/>
      <c r="J38" s="512"/>
      <c r="K38" s="516"/>
    </row>
    <row r="39" spans="2:11" s="260" customFormat="1" ht="17.25" customHeight="1">
      <c r="B39" s="477"/>
      <c r="C39" s="256" t="str">
        <f>IF(ISBLANK(B39),"",_xlfn.XLOOKUP(B39,tblConsommables[Article],tblConsommables[Fournisseur],""))</f>
        <v/>
      </c>
      <c r="D39" s="257" t="str">
        <f>IF(ISBLANK(B39),"",_xlfn.XLOOKUP(B39,tblConsommables[Article],tblConsommables[Unité conditionnement],""))</f>
        <v/>
      </c>
      <c r="E39" s="258" t="str">
        <f>IF(ISBLANK(B39),"",_xlfn.XLOOKUP(B39,tblConsommables[Article],tblConsommables[Coût d''achat HTVA  à l''unité],""))</f>
        <v/>
      </c>
      <c r="F39" s="515"/>
      <c r="G39" s="265" t="str">
        <f t="shared" si="2"/>
        <v/>
      </c>
      <c r="H39" s="13" t="str">
        <f t="shared" si="3"/>
        <v/>
      </c>
      <c r="I39" s="514"/>
      <c r="J39" s="512"/>
      <c r="K39" s="516"/>
    </row>
    <row r="40" spans="2:11" s="260" customFormat="1" ht="17.25" customHeight="1">
      <c r="B40" s="477"/>
      <c r="C40" s="256" t="str">
        <f>IF(ISBLANK(B40),"",_xlfn.XLOOKUP(B40,tblConsommables[Article],tblConsommables[Fournisseur],""))</f>
        <v/>
      </c>
      <c r="D40" s="257" t="str">
        <f>IF(ISBLANK(B40),"",_xlfn.XLOOKUP(B40,tblConsommables[Article],tblConsommables[Unité conditionnement],""))</f>
        <v/>
      </c>
      <c r="E40" s="258" t="str">
        <f>IF(ISBLANK(B40),"",_xlfn.XLOOKUP(B40,tblConsommables[Article],tblConsommables[Coût d''achat HTVA  à l''unité],""))</f>
        <v/>
      </c>
      <c r="F40" s="515"/>
      <c r="G40" s="265" t="str">
        <f t="shared" si="2"/>
        <v/>
      </c>
      <c r="H40" s="13" t="str">
        <f t="shared" si="3"/>
        <v/>
      </c>
      <c r="I40" s="514"/>
      <c r="J40" s="512"/>
      <c r="K40" s="516"/>
    </row>
    <row r="41" spans="2:11" s="260" customFormat="1" ht="17.25" customHeight="1">
      <c r="B41" s="477"/>
      <c r="C41" s="256" t="str">
        <f>IF(ISBLANK(B41),"",_xlfn.XLOOKUP(B41,tblConsommables[Article],tblConsommables[Fournisseur],""))</f>
        <v/>
      </c>
      <c r="D41" s="257" t="str">
        <f>IF(ISBLANK(B41),"",_xlfn.XLOOKUP(B41,tblConsommables[Article],tblConsommables[Unité conditionnement],""))</f>
        <v/>
      </c>
      <c r="E41" s="258" t="str">
        <f>IF(ISBLANK(B41),"",_xlfn.XLOOKUP(B41,tblConsommables[Article],tblConsommables[Coût d''achat HTVA  à l''unité],""))</f>
        <v/>
      </c>
      <c r="F41" s="515"/>
      <c r="G41" s="265" t="str">
        <f t="shared" si="2"/>
        <v/>
      </c>
      <c r="H41" s="13" t="str">
        <f t="shared" si="3"/>
        <v/>
      </c>
      <c r="I41" s="514"/>
      <c r="J41" s="512"/>
      <c r="K41" s="516"/>
    </row>
    <row r="42" spans="2:11" s="260" customFormat="1" ht="17.25" customHeight="1" thickBot="1">
      <c r="B42" s="477"/>
      <c r="C42" s="256" t="str">
        <f>IF(ISBLANK(B42),"",_xlfn.XLOOKUP(B42,tblConsommables[Article],tblConsommables[Fournisseur],""))</f>
        <v/>
      </c>
      <c r="D42" s="257" t="str">
        <f>IF(ISBLANK(B42),"",_xlfn.XLOOKUP(B42,tblConsommables[Article],tblConsommables[Unité conditionnement],""))</f>
        <v/>
      </c>
      <c r="E42" s="258" t="str">
        <f>IF(ISBLANK(B42),"",_xlfn.XLOOKUP(B42,tblConsommables[Article],tblConsommables[Coût d''achat HTVA  à l''unité],""))</f>
        <v/>
      </c>
      <c r="F42" s="517"/>
      <c r="G42" s="265" t="str">
        <f t="shared" si="2"/>
        <v/>
      </c>
      <c r="H42" s="13" t="str">
        <f t="shared" si="3"/>
        <v/>
      </c>
      <c r="I42" s="514"/>
      <c r="J42" s="512"/>
      <c r="K42" s="516"/>
    </row>
    <row r="43" spans="2:11" s="260" customFormat="1" ht="17.25" customHeight="1" thickBot="1">
      <c r="B43" s="897" t="s">
        <v>31</v>
      </c>
      <c r="C43" s="898"/>
      <c r="D43" s="898"/>
      <c r="E43" s="898"/>
      <c r="F43" s="898"/>
      <c r="G43" s="266">
        <f>SUM(G34:G42)</f>
        <v>72.303000000000011</v>
      </c>
      <c r="H43" s="14">
        <f>IF(G43="","",G43/G$45)</f>
        <v>0.27414389985935073</v>
      </c>
      <c r="I43" s="267"/>
      <c r="J43" s="267"/>
      <c r="K43" s="267"/>
    </row>
    <row r="44" spans="2:11" s="260" customFormat="1" ht="17.25" customHeight="1">
      <c r="B44" s="897" t="s">
        <v>180</v>
      </c>
      <c r="C44" s="898"/>
      <c r="D44" s="898"/>
      <c r="E44" s="898"/>
      <c r="F44" s="898"/>
      <c r="G44" s="268">
        <f>J73</f>
        <v>1.4593</v>
      </c>
      <c r="H44" s="14">
        <f>IF(G44="","",G44/G$45)</f>
        <v>5.5330787528145515E-3</v>
      </c>
      <c r="I44" s="269"/>
      <c r="J44" s="267"/>
      <c r="K44" s="267"/>
    </row>
    <row r="45" spans="2:11" s="260" customFormat="1" ht="17.25" customHeight="1">
      <c r="B45" s="518" t="s">
        <v>292</v>
      </c>
      <c r="C45" s="519"/>
      <c r="D45" s="519"/>
      <c r="E45" s="519"/>
      <c r="F45" s="520"/>
      <c r="G45" s="270">
        <f>SUM(G33,G43,G44)</f>
        <v>263.74104999999997</v>
      </c>
      <c r="H45" s="15">
        <f>IF(G45="","",G45/G$45)</f>
        <v>1</v>
      </c>
      <c r="I45" s="521"/>
      <c r="J45" s="521"/>
      <c r="K45" s="521"/>
    </row>
    <row r="46" spans="2:11" s="260" customFormat="1" ht="17.25" customHeight="1">
      <c r="B46" s="489" t="s">
        <v>293</v>
      </c>
      <c r="C46" s="522"/>
      <c r="D46" s="522"/>
      <c r="E46" s="522"/>
      <c r="F46" s="523"/>
      <c r="G46" s="270">
        <f>G45/D8</f>
        <v>1.1721824444444444</v>
      </c>
      <c r="H46" s="524"/>
      <c r="I46" s="521"/>
      <c r="J46" s="521"/>
      <c r="K46" s="521"/>
    </row>
    <row r="47" spans="2:11" s="260" customFormat="1" ht="17.25" customHeight="1">
      <c r="B47" s="521"/>
      <c r="C47" s="521"/>
      <c r="D47" s="521"/>
      <c r="E47" s="521"/>
      <c r="F47" s="521"/>
      <c r="G47" s="521"/>
      <c r="H47" s="525"/>
      <c r="I47" s="521"/>
      <c r="J47" s="521"/>
      <c r="K47" s="521"/>
    </row>
    <row r="48" spans="2:11" s="260" customFormat="1" ht="17.25" customHeight="1">
      <c r="B48" s="901" t="s">
        <v>294</v>
      </c>
      <c r="C48" s="902"/>
      <c r="D48" s="902"/>
      <c r="E48" s="902"/>
      <c r="F48" s="902"/>
      <c r="G48" s="903"/>
      <c r="H48" s="526"/>
      <c r="I48" s="901" t="s">
        <v>26</v>
      </c>
      <c r="J48" s="902"/>
      <c r="K48" s="903"/>
    </row>
    <row r="49" spans="2:17" s="260" customFormat="1" ht="17.25" customHeight="1">
      <c r="B49" s="489" t="s">
        <v>295</v>
      </c>
      <c r="C49" s="527"/>
      <c r="D49" s="527"/>
      <c r="E49" s="528"/>
      <c r="F49" s="529"/>
      <c r="G49" s="271">
        <f>D10</f>
        <v>4.0599999999999996</v>
      </c>
      <c r="H49" s="530"/>
      <c r="I49" s="489" t="s">
        <v>9</v>
      </c>
      <c r="J49" s="523"/>
      <c r="K49" s="271">
        <f>G10</f>
        <v>4.6698113207547172</v>
      </c>
    </row>
    <row r="50" spans="2:17" s="260" customFormat="1" ht="17.25" customHeight="1">
      <c r="B50" s="489" t="s">
        <v>296</v>
      </c>
      <c r="C50" s="527"/>
      <c r="D50" s="527"/>
      <c r="E50" s="522"/>
      <c r="F50" s="531"/>
      <c r="G50" s="272">
        <f>G49-G46</f>
        <v>2.8878175555555554</v>
      </c>
      <c r="H50" s="532"/>
      <c r="I50" s="489" t="s">
        <v>10</v>
      </c>
      <c r="J50" s="523"/>
      <c r="K50" s="272">
        <f>K49-G46</f>
        <v>3.497628876310273</v>
      </c>
    </row>
    <row r="51" spans="2:17" s="260" customFormat="1" ht="17.25" customHeight="1">
      <c r="B51" s="489" t="s">
        <v>410</v>
      </c>
      <c r="C51" s="527"/>
      <c r="D51" s="527"/>
      <c r="E51" s="522"/>
      <c r="F51" s="529"/>
      <c r="G51" s="272">
        <f>G50*$D8</f>
        <v>649.75894999999991</v>
      </c>
      <c r="H51" s="532"/>
      <c r="I51" s="489" t="s">
        <v>410</v>
      </c>
      <c r="J51" s="523"/>
      <c r="K51" s="272">
        <f>K50*$D8</f>
        <v>786.96649716981142</v>
      </c>
    </row>
    <row r="52" spans="2:17" s="260" customFormat="1" ht="17.25" customHeight="1">
      <c r="B52" s="489" t="s">
        <v>411</v>
      </c>
      <c r="C52" s="527"/>
      <c r="D52" s="527"/>
      <c r="E52" s="522"/>
      <c r="F52" s="529"/>
      <c r="G52" s="272">
        <f>G51/($C73*(1/60))</f>
        <v>135.36644791666666</v>
      </c>
      <c r="H52" s="532"/>
      <c r="I52" s="489" t="s">
        <v>411</v>
      </c>
      <c r="J52" s="523"/>
      <c r="K52" s="272">
        <f>K51/($C73*(1/60))</f>
        <v>163.95135357704405</v>
      </c>
    </row>
    <row r="53" spans="2:17" s="260" customFormat="1" ht="17.25" customHeight="1">
      <c r="B53" s="489" t="s">
        <v>297</v>
      </c>
      <c r="C53" s="527"/>
      <c r="D53" s="527"/>
      <c r="E53" s="522"/>
      <c r="F53" s="529"/>
      <c r="G53" s="16">
        <f>G50/$G$46</f>
        <v>2.4636246424286243</v>
      </c>
      <c r="H53" s="533"/>
      <c r="I53" s="489" t="s">
        <v>11</v>
      </c>
      <c r="J53" s="523"/>
      <c r="K53" s="16">
        <f>K50/$G$46</f>
        <v>2.9838604842507888</v>
      </c>
    </row>
    <row r="54" spans="2:17" s="260" customFormat="1" ht="17.25" customHeight="1" thickBot="1">
      <c r="B54" s="489" t="s">
        <v>12</v>
      </c>
      <c r="C54" s="527"/>
      <c r="D54" s="527"/>
      <c r="E54" s="522"/>
      <c r="F54" s="529"/>
      <c r="G54" s="273">
        <f>G49/$G$46</f>
        <v>3.4636246424286243</v>
      </c>
      <c r="H54" s="530"/>
      <c r="I54" s="489" t="s">
        <v>12</v>
      </c>
      <c r="J54" s="523"/>
      <c r="K54" s="273">
        <f>K49/$G$46</f>
        <v>3.9838604842507883</v>
      </c>
    </row>
    <row r="55" spans="2:17" ht="14.4">
      <c r="B55" s="489" t="s">
        <v>13</v>
      </c>
      <c r="C55" s="527"/>
      <c r="D55" s="527"/>
      <c r="E55" s="534"/>
      <c r="F55" s="535"/>
      <c r="G55" s="17">
        <f>G46/G49</f>
        <v>0.28871488779419818</v>
      </c>
      <c r="H55" s="488"/>
      <c r="I55" s="489" t="s">
        <v>13</v>
      </c>
      <c r="J55" s="523"/>
      <c r="K55" s="17">
        <f>G46/K49</f>
        <v>0.25101280628507294</v>
      </c>
      <c r="L55" s="260"/>
      <c r="M55" s="260"/>
      <c r="N55" s="260"/>
      <c r="O55" s="260"/>
      <c r="P55" s="260"/>
      <c r="Q55" s="260"/>
    </row>
    <row r="56" spans="2:17" ht="15.05" thickBot="1">
      <c r="B56" s="489" t="s">
        <v>403</v>
      </c>
      <c r="C56" s="488"/>
      <c r="D56" s="488"/>
      <c r="E56" s="488"/>
      <c r="F56" s="536"/>
      <c r="G56" s="274">
        <f ca="1">'4. CHARGES FIXES'!J18/(1-G55)</f>
        <v>73050.390517344262</v>
      </c>
      <c r="H56" s="488"/>
      <c r="I56" s="489" t="s">
        <v>405</v>
      </c>
      <c r="J56" s="488"/>
      <c r="K56" s="274">
        <f ca="1">'4. CHARGES FIXES'!J18/(1-K55)</f>
        <v>69373.222468718581</v>
      </c>
      <c r="L56" s="260"/>
      <c r="M56" s="260"/>
      <c r="N56" s="260"/>
      <c r="O56" s="260"/>
      <c r="P56" s="260"/>
      <c r="Q56" s="260"/>
    </row>
    <row r="57" spans="2:17" ht="15.05" thickBot="1">
      <c r="B57" s="537" t="s">
        <v>404</v>
      </c>
      <c r="C57" s="488"/>
      <c r="D57" s="488"/>
      <c r="E57" s="488"/>
      <c r="F57" s="536"/>
      <c r="G57" s="275">
        <f ca="1">G56/G49</f>
        <v>17992.707023976422</v>
      </c>
      <c r="H57" s="488"/>
      <c r="I57" s="489" t="s">
        <v>406</v>
      </c>
      <c r="J57" s="488"/>
      <c r="K57" s="275">
        <f ca="1">K56/K49</f>
        <v>14855.679962998322</v>
      </c>
      <c r="L57" s="260"/>
      <c r="M57" s="260"/>
      <c r="N57" s="260"/>
      <c r="O57" s="260"/>
      <c r="P57" s="260"/>
      <c r="Q57" s="260"/>
    </row>
    <row r="58" spans="2:17" ht="15.05" thickBot="1">
      <c r="B58" s="488"/>
      <c r="C58" s="488"/>
      <c r="D58" s="488"/>
      <c r="E58" s="488"/>
      <c r="F58" s="536"/>
      <c r="G58" s="488"/>
      <c r="H58" s="488"/>
      <c r="I58" s="488"/>
      <c r="J58" s="488"/>
      <c r="K58" s="521"/>
      <c r="L58" s="260"/>
      <c r="M58" s="260"/>
      <c r="N58" s="260"/>
      <c r="O58" s="260"/>
      <c r="P58" s="260"/>
      <c r="Q58" s="260"/>
    </row>
    <row r="59" spans="2:17" ht="13.15">
      <c r="B59" s="907" t="s">
        <v>298</v>
      </c>
      <c r="C59" s="908"/>
      <c r="D59" s="908"/>
      <c r="E59" s="908"/>
      <c r="F59" s="908"/>
      <c r="G59" s="908"/>
      <c r="H59" s="908"/>
      <c r="I59" s="908"/>
      <c r="J59" s="909"/>
      <c r="K59" s="521"/>
      <c r="L59" s="260"/>
      <c r="M59" s="260"/>
      <c r="N59" s="260"/>
      <c r="O59" s="260"/>
      <c r="P59" s="260"/>
      <c r="Q59" s="260"/>
    </row>
    <row r="60" spans="2:17" ht="13.15">
      <c r="B60" s="538" t="s">
        <v>41</v>
      </c>
      <c r="C60" s="538" t="s">
        <v>299</v>
      </c>
      <c r="D60" s="538" t="s">
        <v>168</v>
      </c>
      <c r="E60" s="538" t="s">
        <v>301</v>
      </c>
      <c r="F60" s="538" t="s">
        <v>169</v>
      </c>
      <c r="G60" s="538" t="s">
        <v>172</v>
      </c>
      <c r="H60" s="538" t="s">
        <v>170</v>
      </c>
      <c r="I60" s="538" t="s">
        <v>174</v>
      </c>
      <c r="J60" s="538" t="s">
        <v>179</v>
      </c>
      <c r="K60" s="488"/>
    </row>
    <row r="61" spans="2:17" ht="13.15">
      <c r="B61" s="539" t="s">
        <v>46</v>
      </c>
      <c r="C61" s="540">
        <v>20</v>
      </c>
      <c r="D61" s="540">
        <v>0</v>
      </c>
      <c r="E61" s="276">
        <f>C61+D61</f>
        <v>20</v>
      </c>
      <c r="F61" s="540"/>
      <c r="G61" s="540"/>
      <c r="H61" s="276">
        <f t="shared" ref="H61:H62" si="4">G61*D61/60</f>
        <v>0</v>
      </c>
      <c r="I61" s="541"/>
      <c r="J61" s="277" cm="1">
        <f t="array" ref="J61">_xlfn.IFS(I61=Listes!$C$2,'1. DONNEES DE BASE'!$B$2*H61,'FT_PROD (7)'!I61=Listes!$C$3,'1. DONNEES DE BASE'!$B$3*'FT_PROD (7)'!H61,TRUE,0)</f>
        <v>0</v>
      </c>
      <c r="K61" s="488"/>
    </row>
    <row r="62" spans="2:17" ht="13.15">
      <c r="B62" s="539" t="s">
        <v>45</v>
      </c>
      <c r="C62" s="540">
        <v>120</v>
      </c>
      <c r="D62" s="540">
        <v>0</v>
      </c>
      <c r="E62" s="276">
        <f t="shared" ref="E62:E72" si="5">C62+D62</f>
        <v>120</v>
      </c>
      <c r="F62" s="540"/>
      <c r="G62" s="540"/>
      <c r="H62" s="276">
        <f t="shared" si="4"/>
        <v>0</v>
      </c>
      <c r="I62" s="541"/>
      <c r="J62" s="277" cm="1">
        <f t="array" ref="J62">_xlfn.IFS(I62=Listes!$C$2,'1. DONNEES DE BASE'!$B$2*H62,'FT_PROD (7)'!I62=Listes!$C$3,'1. DONNEES DE BASE'!$B$3*'FT_PROD (7)'!H62,TRUE,0)</f>
        <v>0</v>
      </c>
      <c r="K62" s="488"/>
    </row>
    <row r="63" spans="2:17" ht="13.15">
      <c r="B63" s="539" t="s">
        <v>42</v>
      </c>
      <c r="C63" s="540">
        <v>10</v>
      </c>
      <c r="D63" s="542">
        <v>120</v>
      </c>
      <c r="E63" s="276">
        <f t="shared" si="5"/>
        <v>130</v>
      </c>
      <c r="F63" s="540" t="s">
        <v>173</v>
      </c>
      <c r="G63" s="540">
        <v>3</v>
      </c>
      <c r="H63" s="276">
        <f>G63*D63/60</f>
        <v>6</v>
      </c>
      <c r="I63" s="541" t="s">
        <v>175</v>
      </c>
      <c r="J63" s="277" cm="1">
        <f t="array" ref="J63">_xlfn.IFS(I63=Listes!$C$2,'1. DONNEES DE BASE'!$B$2*H63,'FT_PROD (7)'!I63=Listes!$C$3,'1. DONNEES DE BASE'!$B$3*'FT_PROD (7)'!H63,TRUE,0)</f>
        <v>0.48180000000000001</v>
      </c>
      <c r="K63" s="488"/>
    </row>
    <row r="64" spans="2:17" ht="13.15">
      <c r="B64" s="539" t="s">
        <v>43</v>
      </c>
      <c r="C64" s="540">
        <v>3</v>
      </c>
      <c r="D64" s="540">
        <v>0</v>
      </c>
      <c r="E64" s="276">
        <f t="shared" si="5"/>
        <v>3</v>
      </c>
      <c r="F64" s="540"/>
      <c r="G64" s="540"/>
      <c r="H64" s="276">
        <f t="shared" ref="H64:H72" si="6">G64*D64/60</f>
        <v>0</v>
      </c>
      <c r="I64" s="541"/>
      <c r="J64" s="277" cm="1">
        <f t="array" ref="J64">_xlfn.IFS(I64=Listes!$C$2,'1. DONNEES DE BASE'!$B$2*H64,'FT_PROD (7)'!I64=Listes!$C$3,'1. DONNEES DE BASE'!$B$3*'FT_PROD (7)'!H64,TRUE,0)</f>
        <v>0</v>
      </c>
      <c r="K64" s="488"/>
    </row>
    <row r="65" spans="2:11" ht="13.15">
      <c r="B65" s="539" t="s">
        <v>44</v>
      </c>
      <c r="C65" s="540">
        <v>15</v>
      </c>
      <c r="D65" s="542">
        <v>120</v>
      </c>
      <c r="E65" s="276">
        <f t="shared" si="5"/>
        <v>135</v>
      </c>
      <c r="F65" s="540"/>
      <c r="G65" s="540">
        <v>2</v>
      </c>
      <c r="H65" s="276">
        <f t="shared" si="6"/>
        <v>4</v>
      </c>
      <c r="I65" s="541" t="s">
        <v>176</v>
      </c>
      <c r="J65" s="277" cm="1">
        <f t="array" ref="J65">_xlfn.IFS(I65=Listes!$C$2,'1. DONNEES DE BASE'!$B$2*H65,'FT_PROD (7)'!I65=Listes!$C$3,'1. DONNEES DE BASE'!$B$3*'FT_PROD (7)'!H65,TRUE,0)</f>
        <v>0.8</v>
      </c>
      <c r="K65" s="488"/>
    </row>
    <row r="66" spans="2:11" ht="13.15">
      <c r="B66" s="539" t="s">
        <v>27</v>
      </c>
      <c r="C66" s="540">
        <v>120</v>
      </c>
      <c r="D66" s="540">
        <v>0</v>
      </c>
      <c r="E66" s="276">
        <f t="shared" si="5"/>
        <v>120</v>
      </c>
      <c r="F66" s="540"/>
      <c r="G66" s="540"/>
      <c r="H66" s="276">
        <f t="shared" si="6"/>
        <v>0</v>
      </c>
      <c r="I66" s="541"/>
      <c r="J66" s="277" cm="1">
        <f t="array" ref="J66">_xlfn.IFS(I66=Listes!$C$2,'1. DONNEES DE BASE'!$B$2*H66,'FT_PROD (7)'!I66=Listes!$C$3,'1. DONNEES DE BASE'!$B$3*'FT_PROD (7)'!H66,TRUE,0)</f>
        <v>0</v>
      </c>
      <c r="K66" s="488"/>
    </row>
    <row r="67" spans="2:11" ht="13.15">
      <c r="B67" s="543" t="s">
        <v>167</v>
      </c>
      <c r="C67" s="540">
        <v>0</v>
      </c>
      <c r="D67" s="540">
        <v>0</v>
      </c>
      <c r="E67" s="276">
        <f t="shared" si="5"/>
        <v>0</v>
      </c>
      <c r="F67" s="540"/>
      <c r="G67" s="540"/>
      <c r="H67" s="276">
        <f t="shared" si="6"/>
        <v>0</v>
      </c>
      <c r="I67" s="541"/>
      <c r="J67" s="277" cm="1">
        <f t="array" ref="J67">_xlfn.IFS(I67=Listes!$C$2,'1. DONNEES DE BASE'!$B$2*H67,'FT_PROD (7)'!I67=Listes!$C$3,'1. DONNEES DE BASE'!$B$3*'FT_PROD (7)'!H67,TRUE,0)</f>
        <v>0</v>
      </c>
      <c r="K67" s="488"/>
    </row>
    <row r="68" spans="2:11" ht="13.15">
      <c r="B68" s="543" t="s">
        <v>48</v>
      </c>
      <c r="C68" s="540">
        <v>0</v>
      </c>
      <c r="D68" s="540">
        <v>15</v>
      </c>
      <c r="E68" s="276">
        <f t="shared" si="5"/>
        <v>15</v>
      </c>
      <c r="F68" s="540" t="s">
        <v>171</v>
      </c>
      <c r="G68" s="540">
        <v>3.55</v>
      </c>
      <c r="H68" s="276">
        <f t="shared" si="6"/>
        <v>0.88749999999999996</v>
      </c>
      <c r="I68" s="541" t="s">
        <v>176</v>
      </c>
      <c r="J68" s="277" cm="1">
        <f t="array" ref="J68">_xlfn.IFS(I68=Listes!$C$2,'1. DONNEES DE BASE'!$B$2*H68,'FT_PROD (7)'!I68=Listes!$C$3,'1. DONNEES DE BASE'!$B$3*'FT_PROD (7)'!H68,TRUE,0)</f>
        <v>0.17749999999999999</v>
      </c>
      <c r="K68" s="488"/>
    </row>
    <row r="69" spans="2:11" ht="13.15">
      <c r="B69" s="543" t="s">
        <v>302</v>
      </c>
      <c r="C69" s="540">
        <v>0</v>
      </c>
      <c r="D69" s="540">
        <v>0</v>
      </c>
      <c r="E69" s="276">
        <f t="shared" si="5"/>
        <v>0</v>
      </c>
      <c r="F69" s="540"/>
      <c r="G69" s="540"/>
      <c r="H69" s="276">
        <f t="shared" si="6"/>
        <v>0</v>
      </c>
      <c r="I69" s="541"/>
      <c r="J69" s="277" cm="1">
        <f t="array" ref="J69">_xlfn.IFS(I69=Listes!$C$2,'1. DONNEES DE BASE'!$B$2*H69,'FT_PROD (7)'!I69=Listes!$C$3,'1. DONNEES DE BASE'!$B$3*'FT_PROD (7)'!H69,TRUE,0)</f>
        <v>0</v>
      </c>
      <c r="K69" s="488"/>
    </row>
    <row r="70" spans="2:11" ht="13.15">
      <c r="B70" s="543" t="s">
        <v>303</v>
      </c>
      <c r="C70" s="540">
        <v>0</v>
      </c>
      <c r="D70" s="540">
        <v>0</v>
      </c>
      <c r="E70" s="276">
        <f t="shared" si="5"/>
        <v>0</v>
      </c>
      <c r="F70" s="540"/>
      <c r="G70" s="540"/>
      <c r="H70" s="276">
        <f t="shared" si="6"/>
        <v>0</v>
      </c>
      <c r="I70" s="541"/>
      <c r="J70" s="277" cm="1">
        <f t="array" ref="J70">_xlfn.IFS(I70=Listes!$C$2,'1. DONNEES DE BASE'!$B$2*H70,'FT_PROD (7)'!I70=Listes!$C$3,'1. DONNEES DE BASE'!$B$3*'FT_PROD (7)'!H70,TRUE,0)</f>
        <v>0</v>
      </c>
      <c r="K70" s="488"/>
    </row>
    <row r="71" spans="2:11" ht="13.15">
      <c r="B71" s="543" t="s">
        <v>304</v>
      </c>
      <c r="C71" s="540">
        <v>0</v>
      </c>
      <c r="D71" s="540">
        <v>0</v>
      </c>
      <c r="E71" s="276">
        <f t="shared" si="5"/>
        <v>0</v>
      </c>
      <c r="F71" s="540"/>
      <c r="G71" s="540"/>
      <c r="H71" s="276">
        <f t="shared" si="6"/>
        <v>0</v>
      </c>
      <c r="I71" s="541"/>
      <c r="J71" s="277" cm="1">
        <f t="array" ref="J71">_xlfn.IFS(I71=Listes!$C$2,'1. DONNEES DE BASE'!$B$2*H71,'FT_PROD (7)'!I71=Listes!$C$3,'1. DONNEES DE BASE'!$B$3*'FT_PROD (7)'!H71,TRUE,0)</f>
        <v>0</v>
      </c>
      <c r="K71" s="488"/>
    </row>
    <row r="72" spans="2:11" ht="13.15">
      <c r="B72" s="543" t="s">
        <v>305</v>
      </c>
      <c r="C72" s="540">
        <v>0</v>
      </c>
      <c r="D72" s="540">
        <v>0</v>
      </c>
      <c r="E72" s="276">
        <f t="shared" si="5"/>
        <v>0</v>
      </c>
      <c r="F72" s="540"/>
      <c r="G72" s="540"/>
      <c r="H72" s="276">
        <f t="shared" si="6"/>
        <v>0</v>
      </c>
      <c r="I72" s="541"/>
      <c r="J72" s="277" cm="1">
        <f t="array" ref="J72">_xlfn.IFS(I72=Listes!$C$2,'1. DONNEES DE BASE'!$B$2*H72,'FT_PROD (7)'!I72=Listes!$C$3,'1. DONNEES DE BASE'!$B$3*'FT_PROD (7)'!H72,TRUE,0)</f>
        <v>0</v>
      </c>
      <c r="K72" s="488"/>
    </row>
    <row r="73" spans="2:11" ht="13.8" thickBot="1">
      <c r="B73" s="278" t="s">
        <v>47</v>
      </c>
      <c r="C73" s="279">
        <f>SUM(C61:C72)</f>
        <v>288</v>
      </c>
      <c r="D73" s="279">
        <f>SUM(D61:D72)</f>
        <v>255</v>
      </c>
      <c r="E73" s="279">
        <f>SUM(E61:E72)</f>
        <v>543</v>
      </c>
      <c r="F73" s="279"/>
      <c r="G73" s="279"/>
      <c r="H73" s="279">
        <f>SUM(H61:H72)</f>
        <v>10.887499999999999</v>
      </c>
      <c r="I73" s="279"/>
      <c r="J73" s="18">
        <f>SUMIF(J61:J72,"&lt;&gt;#N/A")</f>
        <v>1.4593</v>
      </c>
      <c r="K73" s="488"/>
    </row>
    <row r="74" spans="2:11">
      <c r="B74" s="488"/>
      <c r="C74" s="488"/>
      <c r="D74" s="488"/>
      <c r="E74" s="488"/>
      <c r="F74" s="488"/>
      <c r="G74" s="488"/>
      <c r="H74" s="488"/>
      <c r="I74" s="488"/>
      <c r="J74" s="488"/>
      <c r="K74" s="488"/>
    </row>
    <row r="75" spans="2:11">
      <c r="B75" s="488"/>
      <c r="C75" s="488"/>
      <c r="D75" s="488"/>
      <c r="E75" s="488"/>
      <c r="F75" s="488"/>
      <c r="G75" s="488"/>
      <c r="H75" s="488"/>
      <c r="I75" s="488"/>
      <c r="J75" s="488"/>
      <c r="K75" s="488"/>
    </row>
    <row r="76" spans="2:11">
      <c r="B76" s="544" t="s">
        <v>531</v>
      </c>
      <c r="C76" s="544"/>
      <c r="D76" s="488"/>
      <c r="E76" s="488"/>
      <c r="F76" s="488"/>
      <c r="G76" s="488"/>
      <c r="H76" s="488"/>
      <c r="I76" s="488"/>
      <c r="J76" s="488"/>
      <c r="K76" s="488"/>
    </row>
    <row r="77" spans="2:11" ht="13.15">
      <c r="B77" s="545" t="s">
        <v>532</v>
      </c>
      <c r="C77" s="280">
        <f>SUMIFS(G17:G32,C17:C32,"Auto")</f>
        <v>175</v>
      </c>
      <c r="D77" s="488"/>
      <c r="E77" s="488"/>
      <c r="F77" s="488"/>
      <c r="G77" s="488"/>
      <c r="H77" s="488"/>
      <c r="I77" s="488"/>
      <c r="J77" s="488"/>
      <c r="K77" s="488"/>
    </row>
    <row r="78" spans="2:11" ht="13.15">
      <c r="B78" s="545" t="s">
        <v>533</v>
      </c>
      <c r="C78" s="281">
        <f>C77/D8</f>
        <v>0.77777777777777779</v>
      </c>
      <c r="D78" s="488"/>
      <c r="E78" s="488"/>
      <c r="F78" s="488"/>
      <c r="G78" s="488"/>
      <c r="H78" s="488"/>
      <c r="I78" s="488"/>
      <c r="J78" s="488"/>
      <c r="K78" s="488"/>
    </row>
  </sheetData>
  <sheetProtection algorithmName="SHA-512" hashValue="qwt+zbOUVzZFppbDxp5c7y8wEMm5zZ1MPEZ/gq9YzrE0FLdF1W4CHuArBvbwGqrHS8eCdmwLmQwrvKg3egDs1w==" saltValue="vD3XciaJK05fMbTRmZIzGQ==" spinCount="100000" sheet="1" objects="1" scenarios="1" sort="0" autoFilter="0"/>
  <protectedRanges>
    <protectedRange sqref="I61:I72" name="TYpe energie"/>
    <protectedRange sqref="C2:C3 D5:D6 D8 D10:D11 G11:G12" name="Données de base"/>
    <protectedRange sqref="I17:K32 I34:K42 B34:F42 B17:F32" name="Ingred et consommables"/>
    <protectedRange sqref="B61:D72 F61:G72" name="Energie et travail"/>
  </protectedRanges>
  <mergeCells count="17">
    <mergeCell ref="B33:F3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I16:K16"/>
    <mergeCell ref="B43:F43"/>
    <mergeCell ref="B44:F44"/>
    <mergeCell ref="B48:G48"/>
    <mergeCell ref="I48:K48"/>
    <mergeCell ref="B59:J59"/>
  </mergeCells>
  <dataValidations count="2">
    <dataValidation type="list" allowBlank="1" showInputMessage="1" showErrorMessage="1" errorTitle="Ingrédient invalide" error="Veuillez sélectionner un ingrédient dans la liste." sqref="B17:B32" xr:uid="{2FAA1005-3DFE-49BA-B8E2-846D080C28A6}">
      <formula1>ListeIngredients</formula1>
    </dataValidation>
    <dataValidation type="list" allowBlank="1" showInputMessage="1" showErrorMessage="1" errorTitle="Consommable invalide" error="Veuillez sélectionner un consommable dans la liste." sqref="B34:B42" xr:uid="{CA404E1E-E9FF-4223-B8A3-DABB64268E53}">
      <formula1>ListeConsommables</formula1>
    </dataValidation>
  </dataValidations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19F160-5CD3-454F-A3D2-0E58298D87C9}">
          <x14:formula1>
            <xm:f>Listes!$C$2:$C$5</xm:f>
          </x14:formula1>
          <xm:sqref>I61:I63 I65:I72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DC59E-7A5C-4B09-87B2-9C7F1F135D4A}">
  <sheetPr>
    <pageSetUpPr fitToPage="1"/>
  </sheetPr>
  <dimension ref="B1:Q78"/>
  <sheetViews>
    <sheetView showGridLines="0" zoomScale="85" zoomScaleNormal="85" workbookViewId="0">
      <selection activeCell="C4" sqref="C4"/>
    </sheetView>
  </sheetViews>
  <sheetFormatPr baseColWidth="10" defaultColWidth="11.44140625" defaultRowHeight="12.55"/>
  <cols>
    <col min="1" max="1" width="1.44140625" style="251" customWidth="1"/>
    <col min="2" max="2" width="23.109375" style="251" customWidth="1"/>
    <col min="3" max="3" width="20" style="251" customWidth="1"/>
    <col min="4" max="4" width="19" style="251" customWidth="1"/>
    <col min="5" max="5" width="13.6640625" style="251" bestFit="1" customWidth="1"/>
    <col min="6" max="6" width="23.21875" style="251" customWidth="1"/>
    <col min="7" max="7" width="14.5546875" style="251" customWidth="1"/>
    <col min="8" max="8" width="14.109375" style="251" customWidth="1"/>
    <col min="9" max="9" width="17.33203125" style="251" customWidth="1"/>
    <col min="10" max="10" width="16.6640625" style="251" customWidth="1"/>
    <col min="11" max="11" width="12.109375" style="251" customWidth="1"/>
    <col min="12" max="16384" width="11.44140625" style="251"/>
  </cols>
  <sheetData>
    <row r="1" spans="2:11" ht="47.3" customHeight="1">
      <c r="B1" s="485" t="s">
        <v>37</v>
      </c>
      <c r="C1" s="486"/>
      <c r="D1" s="486"/>
      <c r="E1" s="486"/>
      <c r="F1" s="486"/>
      <c r="G1" s="486"/>
      <c r="H1" s="486"/>
      <c r="I1" s="486"/>
      <c r="J1" s="487"/>
      <c r="K1" s="488"/>
    </row>
    <row r="2" spans="2:11" ht="16.3" customHeight="1">
      <c r="B2" s="489" t="s">
        <v>39</v>
      </c>
      <c r="C2" s="490" t="s">
        <v>566</v>
      </c>
      <c r="D2" s="491"/>
      <c r="E2" s="492"/>
      <c r="F2" s="486"/>
      <c r="G2" s="486"/>
      <c r="H2" s="486"/>
      <c r="I2" s="486"/>
      <c r="J2" s="488"/>
      <c r="K2" s="488"/>
    </row>
    <row r="3" spans="2:11" ht="18.8" customHeight="1">
      <c r="B3" s="489" t="s">
        <v>23</v>
      </c>
      <c r="C3" s="490" t="s">
        <v>567</v>
      </c>
      <c r="D3" s="491"/>
      <c r="E3" s="492"/>
      <c r="F3" s="486"/>
      <c r="G3" s="486"/>
      <c r="H3" s="486"/>
      <c r="I3" s="486"/>
      <c r="J3" s="488"/>
      <c r="K3" s="488"/>
    </row>
    <row r="4" spans="2:11" ht="18.8" customHeight="1">
      <c r="B4" s="493"/>
      <c r="C4" s="486"/>
      <c r="D4" s="486"/>
      <c r="E4" s="488"/>
      <c r="F4" s="486"/>
      <c r="G4" s="486"/>
      <c r="H4" s="905" t="s">
        <v>306</v>
      </c>
      <c r="I4" s="905"/>
      <c r="J4" s="905"/>
      <c r="K4" s="488"/>
    </row>
    <row r="5" spans="2:11" ht="19.899999999999999" customHeight="1">
      <c r="B5" s="489" t="s">
        <v>284</v>
      </c>
      <c r="C5" s="494"/>
      <c r="D5" s="495">
        <v>50</v>
      </c>
      <c r="E5" s="496"/>
      <c r="F5" s="497"/>
      <c r="G5" s="498"/>
      <c r="H5" s="906" t="s">
        <v>285</v>
      </c>
      <c r="I5" s="896"/>
      <c r="J5" s="896"/>
      <c r="K5" s="488"/>
    </row>
    <row r="6" spans="2:11" ht="19.899999999999999" customHeight="1">
      <c r="B6" s="489" t="s">
        <v>286</v>
      </c>
      <c r="C6" s="494"/>
      <c r="D6" s="499">
        <v>0.2</v>
      </c>
      <c r="E6" s="496"/>
      <c r="F6" s="497"/>
      <c r="G6" s="498"/>
      <c r="H6" s="896"/>
      <c r="I6" s="896"/>
      <c r="J6" s="896"/>
      <c r="K6" s="488"/>
    </row>
    <row r="7" spans="2:11" ht="19.899999999999999" customHeight="1">
      <c r="B7" s="489" t="s">
        <v>35</v>
      </c>
      <c r="C7" s="494"/>
      <c r="D7" s="252">
        <f>D5/D6</f>
        <v>250</v>
      </c>
      <c r="E7" s="496"/>
      <c r="F7" s="497"/>
      <c r="G7" s="498"/>
      <c r="H7" s="896"/>
      <c r="I7" s="896"/>
      <c r="J7" s="896"/>
      <c r="K7" s="488"/>
    </row>
    <row r="8" spans="2:11" ht="19.899999999999999" customHeight="1">
      <c r="B8" s="489" t="s">
        <v>36</v>
      </c>
      <c r="C8" s="494"/>
      <c r="D8" s="499">
        <v>225</v>
      </c>
      <c r="E8" s="496"/>
      <c r="F8" s="497"/>
      <c r="G8" s="498"/>
      <c r="H8" s="896" t="s">
        <v>287</v>
      </c>
      <c r="I8" s="896"/>
      <c r="J8" s="896"/>
      <c r="K8" s="488"/>
    </row>
    <row r="9" spans="2:11" ht="19.899999999999999" customHeight="1">
      <c r="B9" s="489" t="s">
        <v>34</v>
      </c>
      <c r="C9" s="494"/>
      <c r="D9" s="10">
        <f>1-(D8/D7)</f>
        <v>9.9999999999999978E-2</v>
      </c>
      <c r="E9" s="496"/>
      <c r="F9" s="497"/>
      <c r="G9" s="498"/>
      <c r="H9" s="896" t="s">
        <v>288</v>
      </c>
      <c r="I9" s="896"/>
      <c r="J9" s="896"/>
      <c r="K9" s="488"/>
    </row>
    <row r="10" spans="2:11" ht="19.899999999999999" customHeight="1">
      <c r="B10" s="489" t="s">
        <v>25</v>
      </c>
      <c r="C10" s="494"/>
      <c r="D10" s="500">
        <v>4.0599999999999996</v>
      </c>
      <c r="E10" s="489" t="s">
        <v>32</v>
      </c>
      <c r="F10" s="501"/>
      <c r="G10" s="253">
        <f>G12/(1+G11)</f>
        <v>4.6698113207547172</v>
      </c>
      <c r="H10" s="896"/>
      <c r="I10" s="896"/>
      <c r="J10" s="896"/>
      <c r="K10" s="488"/>
    </row>
    <row r="11" spans="2:11" ht="19.899999999999999" customHeight="1">
      <c r="B11" s="489" t="s">
        <v>3</v>
      </c>
      <c r="C11" s="494"/>
      <c r="D11" s="502">
        <v>0.06</v>
      </c>
      <c r="E11" s="489" t="s">
        <v>3</v>
      </c>
      <c r="F11" s="501"/>
      <c r="G11" s="503">
        <v>0.06</v>
      </c>
      <c r="H11" s="896"/>
      <c r="I11" s="896"/>
      <c r="J11" s="896"/>
      <c r="K11" s="488"/>
    </row>
    <row r="12" spans="2:11" ht="19.899999999999999" customHeight="1">
      <c r="B12" s="489" t="s">
        <v>33</v>
      </c>
      <c r="C12" s="494"/>
      <c r="D12" s="254">
        <f>D10*(1+D11)</f>
        <v>4.3035999999999994</v>
      </c>
      <c r="E12" s="489" t="s">
        <v>24</v>
      </c>
      <c r="F12" s="501"/>
      <c r="G12" s="504">
        <v>4.95</v>
      </c>
      <c r="H12" s="896"/>
      <c r="I12" s="896"/>
      <c r="J12" s="896"/>
      <c r="K12" s="488"/>
    </row>
    <row r="13" spans="2:11" ht="19.899999999999999" customHeight="1">
      <c r="B13" s="489" t="s">
        <v>289</v>
      </c>
      <c r="C13" s="494"/>
      <c r="D13" s="10">
        <f>G10/D10-1</f>
        <v>0.15019983269820636</v>
      </c>
      <c r="E13" s="505"/>
      <c r="F13" s="505"/>
      <c r="G13" s="505"/>
      <c r="H13" s="896" t="s">
        <v>290</v>
      </c>
      <c r="I13" s="896"/>
      <c r="J13" s="896"/>
      <c r="K13" s="488"/>
    </row>
    <row r="14" spans="2:11" ht="18.8" customHeight="1">
      <c r="B14" s="505"/>
      <c r="C14" s="505"/>
      <c r="D14" s="505"/>
      <c r="E14" s="505"/>
      <c r="F14" s="505"/>
      <c r="G14" s="505"/>
      <c r="H14" s="505"/>
      <c r="I14" s="505"/>
      <c r="J14" s="488"/>
      <c r="K14" s="488"/>
    </row>
    <row r="15" spans="2:11" ht="6.75" customHeight="1" thickBot="1">
      <c r="B15" s="488"/>
      <c r="C15" s="488"/>
      <c r="D15" s="488"/>
      <c r="E15" s="488"/>
      <c r="F15" s="488"/>
      <c r="G15" s="488"/>
      <c r="H15" s="488"/>
      <c r="I15" s="488"/>
      <c r="J15" s="488"/>
      <c r="K15" s="488"/>
    </row>
    <row r="16" spans="2:11" s="255" customFormat="1" ht="45.1" customHeight="1">
      <c r="B16" s="506" t="s">
        <v>4</v>
      </c>
      <c r="C16" s="507" t="s">
        <v>5</v>
      </c>
      <c r="D16" s="508" t="s">
        <v>6</v>
      </c>
      <c r="E16" s="508" t="s">
        <v>7</v>
      </c>
      <c r="F16" s="508" t="s">
        <v>8</v>
      </c>
      <c r="G16" s="508" t="s">
        <v>300</v>
      </c>
      <c r="H16" s="509" t="s">
        <v>30</v>
      </c>
      <c r="I16" s="899" t="s">
        <v>22</v>
      </c>
      <c r="J16" s="899"/>
      <c r="K16" s="900"/>
    </row>
    <row r="17" spans="2:11" s="260" customFormat="1" ht="17.25" customHeight="1">
      <c r="B17" s="477" t="s">
        <v>14</v>
      </c>
      <c r="C17" s="256" t="str">
        <f>IF(ISBLANK(B17),"",_xlfn.XLOOKUP(B17,tblIngredients[Article],tblIngredients[Fournisseur],""))</f>
        <v>Auto</v>
      </c>
      <c r="D17" s="257" t="str">
        <f>IF(ISBLANK(B17),"",_xlfn.XLOOKUP(B17,tblIngredients[Article],tblIngredients[Unité conditionnement],""))</f>
        <v>1 kg</v>
      </c>
      <c r="E17" s="258">
        <f>IF(ISBLANK(B17),"",_xlfn.XLOOKUP(B17,tblIngredients[Article],tblIngredients[Coût d''achat HTVA  à l''unité],""))</f>
        <v>3.5</v>
      </c>
      <c r="F17" s="510">
        <v>50</v>
      </c>
      <c r="G17" s="259">
        <f>IF(OR(F17="",ISBLANK(F17)),"",E17*F17)</f>
        <v>175</v>
      </c>
      <c r="H17" s="11">
        <f>IF(OR(G17="",ISBLANK(G17)),"",G17/G$33)</f>
        <v>0.92115565556674106</v>
      </c>
      <c r="I17" s="511" t="s">
        <v>291</v>
      </c>
      <c r="J17" s="512"/>
      <c r="K17" s="513"/>
    </row>
    <row r="18" spans="2:11" s="260" customFormat="1" ht="17.25" customHeight="1">
      <c r="B18" s="477" t="s">
        <v>15</v>
      </c>
      <c r="C18" s="256" t="str">
        <f>IF(ISBLANK(B18),"",_xlfn.XLOOKUP(B18,tblIngredients[Article],tblIngredients[Fournisseur],""))</f>
        <v>Inbterbio</v>
      </c>
      <c r="D18" s="257" t="str">
        <f>IF(ISBLANK(B18),"",_xlfn.XLOOKUP(B18,tblIngredients[Article],tblIngredients[Unité conditionnement],""))</f>
        <v>1 kg</v>
      </c>
      <c r="E18" s="258">
        <f>IF(ISBLANK(B18),"",_xlfn.XLOOKUP(B18,tblIngredients[Article],tblIngredients[Coût d''achat HTVA  à l''unité],""))</f>
        <v>6</v>
      </c>
      <c r="F18" s="510">
        <v>0.5</v>
      </c>
      <c r="G18" s="259">
        <f t="shared" ref="G18:G32" si="0">IF(OR(F18="",ISBLANK(F18)),"",E18*F18)</f>
        <v>3</v>
      </c>
      <c r="H18" s="11">
        <f t="shared" ref="H18:H32" si="1">IF(OR(G18="",ISBLANK(G18)),"",G18/G$33)</f>
        <v>1.5791239809715561E-2</v>
      </c>
      <c r="I18" s="514"/>
      <c r="J18" s="512"/>
      <c r="K18" s="513"/>
    </row>
    <row r="19" spans="2:11" s="260" customFormat="1" ht="17.25" customHeight="1">
      <c r="B19" s="477" t="s">
        <v>16</v>
      </c>
      <c r="C19" s="256" t="str">
        <f>IF(ISBLANK(B19),"",_xlfn.XLOOKUP(B19,tblIngredients[Article],tblIngredients[Fournisseur],""))</f>
        <v>Interbio</v>
      </c>
      <c r="D19" s="257" t="str">
        <f>IF(ISBLANK(B19),"",_xlfn.XLOOKUP(B19,tblIngredients[Article],tblIngredients[Unité conditionnement],""))</f>
        <v>1 Botte</v>
      </c>
      <c r="E19" s="258">
        <f>IF(ISBLANK(B19),"",_xlfn.XLOOKUP(B19,tblIngredients[Article],tblIngredients[Coût d''achat HTVA  à l''unité],""))</f>
        <v>1.89</v>
      </c>
      <c r="F19" s="510">
        <v>4</v>
      </c>
      <c r="G19" s="259">
        <f t="shared" si="0"/>
        <v>7.56</v>
      </c>
      <c r="H19" s="11">
        <f t="shared" si="1"/>
        <v>3.9793924320483211E-2</v>
      </c>
      <c r="I19" s="514"/>
      <c r="J19" s="512"/>
      <c r="K19" s="513"/>
    </row>
    <row r="20" spans="2:11" s="260" customFormat="1" ht="17.25" customHeight="1">
      <c r="B20" s="477" t="s">
        <v>17</v>
      </c>
      <c r="C20" s="256" t="str">
        <f>IF(ISBLANK(B20),"",_xlfn.XLOOKUP(B20,tblIngredients[Article],tblIngredients[Fournisseur],""))</f>
        <v>Solucious</v>
      </c>
      <c r="D20" s="257" t="str">
        <f>IF(ISBLANK(B20),"",_xlfn.XLOOKUP(B20,tblIngredients[Article],tblIngredients[Unité conditionnement],""))</f>
        <v>1 L</v>
      </c>
      <c r="E20" s="258">
        <f>IF(ISBLANK(B20),"",_xlfn.XLOOKUP(B20,tblIngredients[Article],tblIngredients[Coût d''achat HTVA  à l''unité],""))</f>
        <v>17.649999999999999</v>
      </c>
      <c r="F20" s="510">
        <v>0.25</v>
      </c>
      <c r="G20" s="259">
        <f t="shared" si="0"/>
        <v>4.4124999999999996</v>
      </c>
      <c r="H20" s="11">
        <f t="shared" si="1"/>
        <v>2.3226281886789969E-2</v>
      </c>
      <c r="I20" s="514"/>
      <c r="J20" s="512"/>
      <c r="K20" s="513"/>
    </row>
    <row r="21" spans="2:11" s="260" customFormat="1" ht="17.25" customHeight="1">
      <c r="B21" s="477" t="s">
        <v>391</v>
      </c>
      <c r="C21" s="256" t="str">
        <f>IF(ISBLANK(B21),"",_xlfn.XLOOKUP(B21,tblIngredients[Article],tblIngredients[Fournisseur],""))</f>
        <v>Solucious</v>
      </c>
      <c r="D21" s="257" t="str">
        <f>IF(ISBLANK(B21),"",_xlfn.XLOOKUP(B21,tblIngredients[Article],tblIngredients[Unité conditionnement],""))</f>
        <v>1 Kg</v>
      </c>
      <c r="E21" s="258">
        <f>IF(ISBLANK(B21),"",_xlfn.XLOOKUP(B21,tblIngredients[Article],tblIngredients[Coût d''achat HTVA  à l''unité],""))</f>
        <v>6.25</v>
      </c>
      <c r="F21" s="510">
        <v>1E-3</v>
      </c>
      <c r="G21" s="259">
        <f t="shared" si="0"/>
        <v>6.2500000000000003E-3</v>
      </c>
      <c r="H21" s="11">
        <f t="shared" si="1"/>
        <v>3.2898416270240753E-5</v>
      </c>
      <c r="I21" s="514"/>
      <c r="J21" s="512"/>
      <c r="K21" s="513"/>
    </row>
    <row r="22" spans="2:11" s="260" customFormat="1" ht="17.25" customHeight="1">
      <c r="B22" s="477"/>
      <c r="C22" s="256" t="str">
        <f>IF(ISBLANK(B22),"",_xlfn.XLOOKUP(B22,tblIngredients[Article],tblIngredients[Fournisseur],""))</f>
        <v/>
      </c>
      <c r="D22" s="257" t="str">
        <f>IF(ISBLANK(B22),"",_xlfn.XLOOKUP(B22,tblIngredients[Article],tblIngredients[Unité conditionnement],""))</f>
        <v/>
      </c>
      <c r="E22" s="258" t="str">
        <f>IF(ISBLANK(B22),"",_xlfn.XLOOKUP(B22,tblIngredients[Article],tblIngredients[Coût d''achat HTVA  à l''unité],""))</f>
        <v/>
      </c>
      <c r="F22" s="510"/>
      <c r="G22" s="259" t="str">
        <f t="shared" si="0"/>
        <v/>
      </c>
      <c r="H22" s="11" t="str">
        <f t="shared" si="1"/>
        <v/>
      </c>
      <c r="I22" s="514"/>
      <c r="J22" s="512"/>
      <c r="K22" s="513"/>
    </row>
    <row r="23" spans="2:11" s="260" customFormat="1" ht="17.25" customHeight="1">
      <c r="B23" s="477"/>
      <c r="C23" s="256" t="str">
        <f>IF(ISBLANK(B23),"",_xlfn.XLOOKUP(B23,tblIngredients[Article],tblIngredients[Fournisseur],""))</f>
        <v/>
      </c>
      <c r="D23" s="257" t="str">
        <f>IF(ISBLANK(B23),"",_xlfn.XLOOKUP(B23,tblIngredients[Article],tblIngredients[Unité conditionnement],""))</f>
        <v/>
      </c>
      <c r="E23" s="258" t="str">
        <f>IF(ISBLANK(B23),"",_xlfn.XLOOKUP(B23,tblIngredients[Article],tblIngredients[Coût d''achat HTVA  à l''unité],""))</f>
        <v/>
      </c>
      <c r="F23" s="510"/>
      <c r="G23" s="259" t="str">
        <f t="shared" si="0"/>
        <v/>
      </c>
      <c r="H23" s="11" t="str">
        <f t="shared" si="1"/>
        <v/>
      </c>
      <c r="I23" s="514"/>
      <c r="J23" s="512"/>
      <c r="K23" s="513"/>
    </row>
    <row r="24" spans="2:11" s="260" customFormat="1" ht="17.25" customHeight="1">
      <c r="B24" s="477"/>
      <c r="C24" s="256" t="str">
        <f>IF(ISBLANK(B24),"",_xlfn.XLOOKUP(B24,tblIngredients[Article],tblIngredients[Fournisseur],""))</f>
        <v/>
      </c>
      <c r="D24" s="257" t="str">
        <f>IF(ISBLANK(B24),"",_xlfn.XLOOKUP(B24,tblIngredients[Article],tblIngredients[Unité conditionnement],""))</f>
        <v/>
      </c>
      <c r="E24" s="258" t="str">
        <f>IF(ISBLANK(B24),"",_xlfn.XLOOKUP(B24,tblIngredients[Article],tblIngredients[Coût d''achat HTVA  à l''unité],""))</f>
        <v/>
      </c>
      <c r="F24" s="510"/>
      <c r="G24" s="259" t="str">
        <f t="shared" si="0"/>
        <v/>
      </c>
      <c r="H24" s="11" t="str">
        <f t="shared" si="1"/>
        <v/>
      </c>
      <c r="I24" s="514"/>
      <c r="J24" s="512"/>
      <c r="K24" s="513"/>
    </row>
    <row r="25" spans="2:11" s="260" customFormat="1" ht="17.25" customHeight="1">
      <c r="B25" s="477"/>
      <c r="C25" s="256" t="str">
        <f>IF(ISBLANK(B25),"",_xlfn.XLOOKUP(B25,tblIngredients[Article],tblIngredients[Fournisseur],""))</f>
        <v/>
      </c>
      <c r="D25" s="257" t="str">
        <f>IF(ISBLANK(B25),"",_xlfn.XLOOKUP(B25,tblIngredients[Article],tblIngredients[Unité conditionnement],""))</f>
        <v/>
      </c>
      <c r="E25" s="258" t="str">
        <f>IF(ISBLANK(B25),"",_xlfn.XLOOKUP(B25,tblIngredients[Article],tblIngredients[Coût d''achat HTVA  à l''unité],""))</f>
        <v/>
      </c>
      <c r="F25" s="510"/>
      <c r="G25" s="259" t="str">
        <f t="shared" si="0"/>
        <v/>
      </c>
      <c r="H25" s="11" t="str">
        <f t="shared" si="1"/>
        <v/>
      </c>
      <c r="I25" s="514"/>
      <c r="J25" s="512"/>
      <c r="K25" s="513"/>
    </row>
    <row r="26" spans="2:11" s="260" customFormat="1" ht="17.25" customHeight="1">
      <c r="B26" s="477"/>
      <c r="C26" s="256" t="str">
        <f>IF(ISBLANK(B26),"",_xlfn.XLOOKUP(B26,tblIngredients[Article],tblIngredients[Fournisseur],""))</f>
        <v/>
      </c>
      <c r="D26" s="257" t="str">
        <f>IF(ISBLANK(B26),"",_xlfn.XLOOKUP(B26,tblIngredients[Article],tblIngredients[Unité conditionnement],""))</f>
        <v/>
      </c>
      <c r="E26" s="258" t="str">
        <f>IF(ISBLANK(B26),"",_xlfn.XLOOKUP(B26,tblIngredients[Article],tblIngredients[Coût d''achat HTVA  à l''unité],""))</f>
        <v/>
      </c>
      <c r="F26" s="510"/>
      <c r="G26" s="259" t="str">
        <f t="shared" si="0"/>
        <v/>
      </c>
      <c r="H26" s="11" t="str">
        <f t="shared" si="1"/>
        <v/>
      </c>
      <c r="I26" s="514"/>
      <c r="J26" s="512"/>
      <c r="K26" s="513"/>
    </row>
    <row r="27" spans="2:11" s="260" customFormat="1" ht="17.25" customHeight="1">
      <c r="B27" s="477"/>
      <c r="C27" s="256" t="str">
        <f>IF(ISBLANK(B27),"",_xlfn.XLOOKUP(B27,tblIngredients[Article],tblIngredients[Fournisseur],""))</f>
        <v/>
      </c>
      <c r="D27" s="257" t="str">
        <f>IF(ISBLANK(B27),"",_xlfn.XLOOKUP(B27,tblIngredients[Article],tblIngredients[Unité conditionnement],""))</f>
        <v/>
      </c>
      <c r="E27" s="258" t="str">
        <f>IF(ISBLANK(B27),"",_xlfn.XLOOKUP(B27,tblIngredients[Article],tblIngredients[Coût d''achat HTVA  à l''unité],""))</f>
        <v/>
      </c>
      <c r="F27" s="510"/>
      <c r="G27" s="259" t="str">
        <f t="shared" si="0"/>
        <v/>
      </c>
      <c r="H27" s="11" t="str">
        <f t="shared" si="1"/>
        <v/>
      </c>
      <c r="I27" s="514"/>
      <c r="J27" s="512"/>
      <c r="K27" s="513"/>
    </row>
    <row r="28" spans="2:11" s="260" customFormat="1" ht="17.25" customHeight="1">
      <c r="B28" s="477"/>
      <c r="C28" s="256"/>
      <c r="D28" s="257"/>
      <c r="E28" s="258"/>
      <c r="F28" s="510"/>
      <c r="G28" s="259"/>
      <c r="H28" s="11"/>
      <c r="I28" s="514"/>
      <c r="J28" s="512"/>
      <c r="K28" s="513"/>
    </row>
    <row r="29" spans="2:11" s="260" customFormat="1" ht="17.25" customHeight="1">
      <c r="B29" s="477"/>
      <c r="C29" s="256" t="str">
        <f>IF(ISBLANK(B29),"",_xlfn.XLOOKUP(B29,tblIngredients[Article],tblIngredients[Fournisseur],""))</f>
        <v/>
      </c>
      <c r="D29" s="257" t="str">
        <f>IF(ISBLANK(B29),"",_xlfn.XLOOKUP(B29,tblIngredients[Article],tblIngredients[Unité conditionnement],""))</f>
        <v/>
      </c>
      <c r="E29" s="258" t="str">
        <f>IF(ISBLANK(B29),"",_xlfn.XLOOKUP(B29,tblIngredients[Article],tblIngredients[Coût d''achat HTVA  à l''unité],""))</f>
        <v/>
      </c>
      <c r="F29" s="510"/>
      <c r="G29" s="259" t="str">
        <f t="shared" si="0"/>
        <v/>
      </c>
      <c r="H29" s="11" t="str">
        <f t="shared" si="1"/>
        <v/>
      </c>
      <c r="I29" s="514"/>
      <c r="J29" s="512"/>
      <c r="K29" s="513"/>
    </row>
    <row r="30" spans="2:11" s="260" customFormat="1" ht="17.25" customHeight="1">
      <c r="B30" s="477"/>
      <c r="C30" s="256" t="str">
        <f>IF(ISBLANK(B30),"",_xlfn.XLOOKUP(B30,tblIngredients[Article],tblIngredients[Fournisseur],""))</f>
        <v/>
      </c>
      <c r="D30" s="257" t="str">
        <f>IF(ISBLANK(B30),"",_xlfn.XLOOKUP(B30,tblIngredients[Article],tblIngredients[Unité conditionnement],""))</f>
        <v/>
      </c>
      <c r="E30" s="258" t="str">
        <f>IF(ISBLANK(B30),"",_xlfn.XLOOKUP(B30,tblIngredients[Article],tblIngredients[Coût d''achat HTVA  à l''unité],""))</f>
        <v/>
      </c>
      <c r="F30" s="510"/>
      <c r="G30" s="259" t="str">
        <f t="shared" si="0"/>
        <v/>
      </c>
      <c r="H30" s="11" t="str">
        <f t="shared" si="1"/>
        <v/>
      </c>
      <c r="I30" s="514"/>
      <c r="J30" s="512"/>
      <c r="K30" s="513"/>
    </row>
    <row r="31" spans="2:11" s="260" customFormat="1" ht="17.25" customHeight="1">
      <c r="B31" s="477"/>
      <c r="C31" s="256" t="str">
        <f>IF(ISBLANK(B31),"",_xlfn.XLOOKUP(B31,tblIngredients[Article],tblIngredients[Fournisseur],""))</f>
        <v/>
      </c>
      <c r="D31" s="257" t="str">
        <f>IF(ISBLANK(B31),"",_xlfn.XLOOKUP(B31,tblIngredients[Article],tblIngredients[Unité conditionnement],""))</f>
        <v/>
      </c>
      <c r="E31" s="258" t="str">
        <f>IF(ISBLANK(B31),"",_xlfn.XLOOKUP(B31,tblIngredients[Article],tblIngredients[Coût d''achat HTVA  à l''unité],""))</f>
        <v/>
      </c>
      <c r="F31" s="510"/>
      <c r="G31" s="259" t="str">
        <f t="shared" si="0"/>
        <v/>
      </c>
      <c r="H31" s="11" t="str">
        <f t="shared" si="1"/>
        <v/>
      </c>
      <c r="I31" s="514"/>
      <c r="J31" s="512"/>
      <c r="K31" s="513"/>
    </row>
    <row r="32" spans="2:11" s="260" customFormat="1" ht="17.25" customHeight="1">
      <c r="B32" s="477"/>
      <c r="C32" s="256" t="str">
        <f>IF(ISBLANK(B32),"",_xlfn.XLOOKUP(B32,tblIngredients[Article],tblIngredients[Fournisseur],""))</f>
        <v/>
      </c>
      <c r="D32" s="257" t="str">
        <f>IF(ISBLANK(B32),"",_xlfn.XLOOKUP(B32,tblIngredients[Article],tblIngredients[Unité conditionnement],""))</f>
        <v/>
      </c>
      <c r="E32" s="258" t="str">
        <f>IF(ISBLANK(B32),"",_xlfn.XLOOKUP(B32,tblIngredients[Article],tblIngredients[Coût d''achat HTVA  à l''unité],""))</f>
        <v/>
      </c>
      <c r="F32" s="510"/>
      <c r="G32" s="259" t="str">
        <f t="shared" si="0"/>
        <v/>
      </c>
      <c r="H32" s="11" t="str">
        <f t="shared" si="1"/>
        <v/>
      </c>
      <c r="I32" s="514"/>
      <c r="J32" s="512"/>
      <c r="K32" s="513"/>
    </row>
    <row r="33" spans="2:11" s="260" customFormat="1" ht="17.25" customHeight="1">
      <c r="B33" s="904" t="s">
        <v>29</v>
      </c>
      <c r="C33" s="904"/>
      <c r="D33" s="904"/>
      <c r="E33" s="904"/>
      <c r="F33" s="904"/>
      <c r="G33" s="261">
        <f>SUM(G17:G32)</f>
        <v>189.97874999999999</v>
      </c>
      <c r="H33" s="12">
        <f>IF(G33="","",G33/G$45)</f>
        <v>0.72032302138783477</v>
      </c>
      <c r="I33" s="262"/>
      <c r="J33" s="263"/>
      <c r="K33" s="264"/>
    </row>
    <row r="34" spans="2:11" s="260" customFormat="1" ht="17.25" customHeight="1">
      <c r="B34" s="477" t="s">
        <v>19</v>
      </c>
      <c r="C34" s="256" t="str">
        <f>IF(ISBLANK(B34),"",_xlfn.XLOOKUP(B34,tblConsommables[Article],tblConsommables[Fournisseur],""))</f>
        <v>Grossiste</v>
      </c>
      <c r="D34" s="257" t="str">
        <f>IF(ISBLANK(B34),"",_xlfn.XLOOKUP(B34,tblConsommables[Article],tblConsommables[Unité conditionnement],""))</f>
        <v>Unité</v>
      </c>
      <c r="E34" s="258">
        <f>IF(ISBLANK(B34),"",_xlfn.XLOOKUP(B34,tblConsommables[Article],tblConsommables[Coût d''achat HTVA  à l''unité],""))</f>
        <v>0.154</v>
      </c>
      <c r="F34" s="515">
        <v>230</v>
      </c>
      <c r="G34" s="265">
        <f>IF(OR(F34="",ISBLANK(F34)),"",E34*F34)</f>
        <v>35.42</v>
      </c>
      <c r="H34" s="13">
        <f>IF(OR(G34="",ISBLANK(G34)),"",G34/G$43)</f>
        <v>0.48988285410010646</v>
      </c>
      <c r="I34" s="514"/>
      <c r="J34" s="512"/>
      <c r="K34" s="516"/>
    </row>
    <row r="35" spans="2:11" s="260" customFormat="1" ht="17.25" customHeight="1">
      <c r="B35" s="477" t="s">
        <v>38</v>
      </c>
      <c r="C35" s="256" t="str">
        <f>IF(ISBLANK(B35),"",_xlfn.XLOOKUP(B35,tblConsommables[Article],tblConsommables[Fournisseur],""))</f>
        <v>Grossiste</v>
      </c>
      <c r="D35" s="257" t="str">
        <f>IF(ISBLANK(B35),"",_xlfn.XLOOKUP(B35,tblConsommables[Article],tblConsommables[Unité conditionnement],""))</f>
        <v>Unité</v>
      </c>
      <c r="E35" s="258">
        <f>IF(ISBLANK(B35),"",_xlfn.XLOOKUP(B35,tblConsommables[Article],tblConsommables[Coût d''achat HTVA  à l''unité],""))</f>
        <v>0.12</v>
      </c>
      <c r="F35" s="515">
        <v>250</v>
      </c>
      <c r="G35" s="265">
        <f t="shared" ref="G35:G42" si="2">IF(OR(F35="",ISBLANK(F35)),"",E35*F35)</f>
        <v>30</v>
      </c>
      <c r="H35" s="13">
        <f t="shared" ref="H35:H42" si="3">IF(OR(G35="",ISBLANK(G35)),"",G35/G$43)</f>
        <v>0.41492054271606982</v>
      </c>
      <c r="I35" s="514"/>
      <c r="J35" s="512"/>
      <c r="K35" s="516"/>
    </row>
    <row r="36" spans="2:11" s="260" customFormat="1" ht="17.25" customHeight="1">
      <c r="B36" s="477" t="s">
        <v>27</v>
      </c>
      <c r="C36" s="256" t="str">
        <f>IF(ISBLANK(B36),"",_xlfn.XLOOKUP(B36,tblConsommables[Article],tblConsommables[Fournisseur],""))</f>
        <v>Grossiste</v>
      </c>
      <c r="D36" s="257" t="str">
        <f>IF(ISBLANK(B36),"",_xlfn.XLOOKUP(B36,tblConsommables[Article],tblConsommables[Unité conditionnement],""))</f>
        <v>Rack de 1000</v>
      </c>
      <c r="E36" s="258">
        <f>IF(ISBLANK(B36),"",_xlfn.XLOOKUP(B36,tblConsommables[Article],tblConsommables[Coût d''achat HTVA  à l''unité],""))</f>
        <v>27.3</v>
      </c>
      <c r="F36" s="515">
        <v>0.25</v>
      </c>
      <c r="G36" s="265">
        <f t="shared" si="2"/>
        <v>6.8250000000000002</v>
      </c>
      <c r="H36" s="13">
        <f t="shared" si="3"/>
        <v>9.4394423467905886E-2</v>
      </c>
      <c r="I36" s="514"/>
      <c r="J36" s="512"/>
      <c r="K36" s="516"/>
    </row>
    <row r="37" spans="2:11" s="260" customFormat="1" ht="17.25" customHeight="1">
      <c r="B37" s="477" t="s">
        <v>402</v>
      </c>
      <c r="C37" s="256" t="str">
        <f>IF(ISBLANK(B37),"",_xlfn.XLOOKUP(B37,tblConsommables[Article],tblConsommables[Fournisseur],""))</f>
        <v>Grossiste</v>
      </c>
      <c r="D37" s="257" t="str">
        <f>IF(ISBLANK(B37),"",_xlfn.XLOOKUP(B37,tblConsommables[Article],tblConsommables[Unité conditionnement],""))</f>
        <v>Rack de 1000</v>
      </c>
      <c r="E37" s="258">
        <f>IF(ISBLANK(B37),"",_xlfn.XLOOKUP(B37,tblConsommables[Article],tblConsommables[Coût d''achat HTVA  à l''unité],""))</f>
        <v>58</v>
      </c>
      <c r="F37" s="515">
        <v>1E-3</v>
      </c>
      <c r="G37" s="265">
        <f t="shared" si="2"/>
        <v>5.8000000000000003E-2</v>
      </c>
      <c r="H37" s="13">
        <f t="shared" si="3"/>
        <v>8.0217971591773501E-4</v>
      </c>
      <c r="I37" s="514"/>
      <c r="J37" s="512"/>
      <c r="K37" s="516"/>
    </row>
    <row r="38" spans="2:11" s="260" customFormat="1" ht="17.25" customHeight="1">
      <c r="B38" s="477"/>
      <c r="C38" s="256" t="str">
        <f>IF(ISBLANK(B38),"",_xlfn.XLOOKUP(B38,tblConsommables[Article],tblConsommables[Fournisseur],""))</f>
        <v/>
      </c>
      <c r="D38" s="257" t="str">
        <f>IF(ISBLANK(B38),"",_xlfn.XLOOKUP(B38,tblConsommables[Article],tblConsommables[Unité conditionnement],""))</f>
        <v/>
      </c>
      <c r="E38" s="258" t="str">
        <f>IF(ISBLANK(B38),"",_xlfn.XLOOKUP(B38,tblConsommables[Article],tblConsommables[Coût d''achat HTVA  à l''unité],""))</f>
        <v/>
      </c>
      <c r="F38" s="515"/>
      <c r="G38" s="265" t="str">
        <f t="shared" si="2"/>
        <v/>
      </c>
      <c r="H38" s="13" t="str">
        <f t="shared" si="3"/>
        <v/>
      </c>
      <c r="I38" s="514"/>
      <c r="J38" s="512"/>
      <c r="K38" s="516"/>
    </row>
    <row r="39" spans="2:11" s="260" customFormat="1" ht="17.25" customHeight="1">
      <c r="B39" s="477"/>
      <c r="C39" s="256" t="str">
        <f>IF(ISBLANK(B39),"",_xlfn.XLOOKUP(B39,tblConsommables[Article],tblConsommables[Fournisseur],""))</f>
        <v/>
      </c>
      <c r="D39" s="257" t="str">
        <f>IF(ISBLANK(B39),"",_xlfn.XLOOKUP(B39,tblConsommables[Article],tblConsommables[Unité conditionnement],""))</f>
        <v/>
      </c>
      <c r="E39" s="258" t="str">
        <f>IF(ISBLANK(B39),"",_xlfn.XLOOKUP(B39,tblConsommables[Article],tblConsommables[Coût d''achat HTVA  à l''unité],""))</f>
        <v/>
      </c>
      <c r="F39" s="515"/>
      <c r="G39" s="265" t="str">
        <f t="shared" si="2"/>
        <v/>
      </c>
      <c r="H39" s="13" t="str">
        <f t="shared" si="3"/>
        <v/>
      </c>
      <c r="I39" s="514"/>
      <c r="J39" s="512"/>
      <c r="K39" s="516"/>
    </row>
    <row r="40" spans="2:11" s="260" customFormat="1" ht="17.25" customHeight="1">
      <c r="B40" s="477"/>
      <c r="C40" s="256" t="str">
        <f>IF(ISBLANK(B40),"",_xlfn.XLOOKUP(B40,tblConsommables[Article],tblConsommables[Fournisseur],""))</f>
        <v/>
      </c>
      <c r="D40" s="257" t="str">
        <f>IF(ISBLANK(B40),"",_xlfn.XLOOKUP(B40,tblConsommables[Article],tblConsommables[Unité conditionnement],""))</f>
        <v/>
      </c>
      <c r="E40" s="258" t="str">
        <f>IF(ISBLANK(B40),"",_xlfn.XLOOKUP(B40,tblConsommables[Article],tblConsommables[Coût d''achat HTVA  à l''unité],""))</f>
        <v/>
      </c>
      <c r="F40" s="515"/>
      <c r="G40" s="265" t="str">
        <f t="shared" si="2"/>
        <v/>
      </c>
      <c r="H40" s="13" t="str">
        <f t="shared" si="3"/>
        <v/>
      </c>
      <c r="I40" s="514"/>
      <c r="J40" s="512"/>
      <c r="K40" s="516"/>
    </row>
    <row r="41" spans="2:11" s="260" customFormat="1" ht="17.25" customHeight="1">
      <c r="B41" s="477"/>
      <c r="C41" s="256" t="str">
        <f>IF(ISBLANK(B41),"",_xlfn.XLOOKUP(B41,tblConsommables[Article],tblConsommables[Fournisseur],""))</f>
        <v/>
      </c>
      <c r="D41" s="257" t="str">
        <f>IF(ISBLANK(B41),"",_xlfn.XLOOKUP(B41,tblConsommables[Article],tblConsommables[Unité conditionnement],""))</f>
        <v/>
      </c>
      <c r="E41" s="258" t="str">
        <f>IF(ISBLANK(B41),"",_xlfn.XLOOKUP(B41,tblConsommables[Article],tblConsommables[Coût d''achat HTVA  à l''unité],""))</f>
        <v/>
      </c>
      <c r="F41" s="515"/>
      <c r="G41" s="265" t="str">
        <f t="shared" si="2"/>
        <v/>
      </c>
      <c r="H41" s="13" t="str">
        <f t="shared" si="3"/>
        <v/>
      </c>
      <c r="I41" s="514"/>
      <c r="J41" s="512"/>
      <c r="K41" s="516"/>
    </row>
    <row r="42" spans="2:11" s="260" customFormat="1" ht="17.25" customHeight="1" thickBot="1">
      <c r="B42" s="477"/>
      <c r="C42" s="256" t="str">
        <f>IF(ISBLANK(B42),"",_xlfn.XLOOKUP(B42,tblConsommables[Article],tblConsommables[Fournisseur],""))</f>
        <v/>
      </c>
      <c r="D42" s="257" t="str">
        <f>IF(ISBLANK(B42),"",_xlfn.XLOOKUP(B42,tblConsommables[Article],tblConsommables[Unité conditionnement],""))</f>
        <v/>
      </c>
      <c r="E42" s="258" t="str">
        <f>IF(ISBLANK(B42),"",_xlfn.XLOOKUP(B42,tblConsommables[Article],tblConsommables[Coût d''achat HTVA  à l''unité],""))</f>
        <v/>
      </c>
      <c r="F42" s="517"/>
      <c r="G42" s="265" t="str">
        <f t="shared" si="2"/>
        <v/>
      </c>
      <c r="H42" s="13" t="str">
        <f t="shared" si="3"/>
        <v/>
      </c>
      <c r="I42" s="514"/>
      <c r="J42" s="512"/>
      <c r="K42" s="516"/>
    </row>
    <row r="43" spans="2:11" s="260" customFormat="1" ht="17.25" customHeight="1" thickBot="1">
      <c r="B43" s="897" t="s">
        <v>31</v>
      </c>
      <c r="C43" s="898"/>
      <c r="D43" s="898"/>
      <c r="E43" s="898"/>
      <c r="F43" s="898"/>
      <c r="G43" s="266">
        <f>SUM(G34:G42)</f>
        <v>72.303000000000011</v>
      </c>
      <c r="H43" s="14">
        <f>IF(G43="","",G43/G$45)</f>
        <v>0.27414389985935073</v>
      </c>
      <c r="I43" s="267"/>
      <c r="J43" s="267"/>
      <c r="K43" s="267"/>
    </row>
    <row r="44" spans="2:11" s="260" customFormat="1" ht="17.25" customHeight="1">
      <c r="B44" s="897" t="s">
        <v>180</v>
      </c>
      <c r="C44" s="898"/>
      <c r="D44" s="898"/>
      <c r="E44" s="898"/>
      <c r="F44" s="898"/>
      <c r="G44" s="268">
        <f>J73</f>
        <v>1.4593</v>
      </c>
      <c r="H44" s="14">
        <f>IF(G44="","",G44/G$45)</f>
        <v>5.5330787528145515E-3</v>
      </c>
      <c r="I44" s="269"/>
      <c r="J44" s="267"/>
      <c r="K44" s="267"/>
    </row>
    <row r="45" spans="2:11" s="260" customFormat="1" ht="17.25" customHeight="1">
      <c r="B45" s="518" t="s">
        <v>292</v>
      </c>
      <c r="C45" s="519"/>
      <c r="D45" s="519"/>
      <c r="E45" s="519"/>
      <c r="F45" s="520"/>
      <c r="G45" s="270">
        <f>SUM(G33,G43,G44)</f>
        <v>263.74104999999997</v>
      </c>
      <c r="H45" s="15">
        <f>IF(G45="","",G45/G$45)</f>
        <v>1</v>
      </c>
      <c r="I45" s="521"/>
      <c r="J45" s="521"/>
      <c r="K45" s="521"/>
    </row>
    <row r="46" spans="2:11" s="260" customFormat="1" ht="17.25" customHeight="1">
      <c r="B46" s="489" t="s">
        <v>293</v>
      </c>
      <c r="C46" s="522"/>
      <c r="D46" s="522"/>
      <c r="E46" s="522"/>
      <c r="F46" s="523"/>
      <c r="G46" s="270">
        <f>G45/D8</f>
        <v>1.1721824444444444</v>
      </c>
      <c r="H46" s="524"/>
      <c r="I46" s="521"/>
      <c r="J46" s="521"/>
      <c r="K46" s="521"/>
    </row>
    <row r="47" spans="2:11" s="260" customFormat="1" ht="17.25" customHeight="1">
      <c r="B47" s="521"/>
      <c r="C47" s="521"/>
      <c r="D47" s="521"/>
      <c r="E47" s="521"/>
      <c r="F47" s="521"/>
      <c r="G47" s="521"/>
      <c r="H47" s="525"/>
      <c r="I47" s="521"/>
      <c r="J47" s="521"/>
      <c r="K47" s="521"/>
    </row>
    <row r="48" spans="2:11" s="260" customFormat="1" ht="17.25" customHeight="1">
      <c r="B48" s="901" t="s">
        <v>294</v>
      </c>
      <c r="C48" s="902"/>
      <c r="D48" s="902"/>
      <c r="E48" s="902"/>
      <c r="F48" s="902"/>
      <c r="G48" s="903"/>
      <c r="H48" s="526"/>
      <c r="I48" s="901" t="s">
        <v>26</v>
      </c>
      <c r="J48" s="902"/>
      <c r="K48" s="903"/>
    </row>
    <row r="49" spans="2:17" s="260" customFormat="1" ht="17.25" customHeight="1">
      <c r="B49" s="489" t="s">
        <v>295</v>
      </c>
      <c r="C49" s="527"/>
      <c r="D49" s="527"/>
      <c r="E49" s="528"/>
      <c r="F49" s="529"/>
      <c r="G49" s="271">
        <f>D10</f>
        <v>4.0599999999999996</v>
      </c>
      <c r="H49" s="530"/>
      <c r="I49" s="489" t="s">
        <v>9</v>
      </c>
      <c r="J49" s="523"/>
      <c r="K49" s="271">
        <f>G10</f>
        <v>4.6698113207547172</v>
      </c>
    </row>
    <row r="50" spans="2:17" s="260" customFormat="1" ht="17.25" customHeight="1">
      <c r="B50" s="489" t="s">
        <v>296</v>
      </c>
      <c r="C50" s="527"/>
      <c r="D50" s="527"/>
      <c r="E50" s="522"/>
      <c r="F50" s="531"/>
      <c r="G50" s="272">
        <f>G49-G46</f>
        <v>2.8878175555555554</v>
      </c>
      <c r="H50" s="532"/>
      <c r="I50" s="489" t="s">
        <v>10</v>
      </c>
      <c r="J50" s="523"/>
      <c r="K50" s="272">
        <f>K49-G46</f>
        <v>3.497628876310273</v>
      </c>
    </row>
    <row r="51" spans="2:17" s="260" customFormat="1" ht="17.25" customHeight="1">
      <c r="B51" s="489" t="s">
        <v>410</v>
      </c>
      <c r="C51" s="527"/>
      <c r="D51" s="527"/>
      <c r="E51" s="522"/>
      <c r="F51" s="529"/>
      <c r="G51" s="272">
        <f>G50*$D8</f>
        <v>649.75894999999991</v>
      </c>
      <c r="H51" s="532"/>
      <c r="I51" s="489" t="s">
        <v>410</v>
      </c>
      <c r="J51" s="523"/>
      <c r="K51" s="272">
        <f>K50*$D8</f>
        <v>786.96649716981142</v>
      </c>
    </row>
    <row r="52" spans="2:17" s="260" customFormat="1" ht="17.25" customHeight="1">
      <c r="B52" s="489" t="s">
        <v>411</v>
      </c>
      <c r="C52" s="527"/>
      <c r="D52" s="527"/>
      <c r="E52" s="522"/>
      <c r="F52" s="529"/>
      <c r="G52" s="272">
        <f>G51/($C73*(1/60))</f>
        <v>135.36644791666666</v>
      </c>
      <c r="H52" s="532"/>
      <c r="I52" s="489" t="s">
        <v>411</v>
      </c>
      <c r="J52" s="523"/>
      <c r="K52" s="272">
        <f>K51/($C73*(1/60))</f>
        <v>163.95135357704405</v>
      </c>
    </row>
    <row r="53" spans="2:17" s="260" customFormat="1" ht="17.25" customHeight="1">
      <c r="B53" s="489" t="s">
        <v>297</v>
      </c>
      <c r="C53" s="527"/>
      <c r="D53" s="527"/>
      <c r="E53" s="522"/>
      <c r="F53" s="529"/>
      <c r="G53" s="16">
        <f>G50/$G$46</f>
        <v>2.4636246424286243</v>
      </c>
      <c r="H53" s="533"/>
      <c r="I53" s="489" t="s">
        <v>11</v>
      </c>
      <c r="J53" s="523"/>
      <c r="K53" s="16">
        <f>K50/$G$46</f>
        <v>2.9838604842507888</v>
      </c>
    </row>
    <row r="54" spans="2:17" s="260" customFormat="1" ht="17.25" customHeight="1" thickBot="1">
      <c r="B54" s="489" t="s">
        <v>12</v>
      </c>
      <c r="C54" s="527"/>
      <c r="D54" s="527"/>
      <c r="E54" s="522"/>
      <c r="F54" s="529"/>
      <c r="G54" s="273">
        <f>G49/$G$46</f>
        <v>3.4636246424286243</v>
      </c>
      <c r="H54" s="530"/>
      <c r="I54" s="489" t="s">
        <v>12</v>
      </c>
      <c r="J54" s="523"/>
      <c r="K54" s="273">
        <f>K49/$G$46</f>
        <v>3.9838604842507883</v>
      </c>
    </row>
    <row r="55" spans="2:17" ht="14.4">
      <c r="B55" s="489" t="s">
        <v>13</v>
      </c>
      <c r="C55" s="527"/>
      <c r="D55" s="527"/>
      <c r="E55" s="534"/>
      <c r="F55" s="535"/>
      <c r="G55" s="17">
        <f>G46/G49</f>
        <v>0.28871488779419818</v>
      </c>
      <c r="H55" s="488"/>
      <c r="I55" s="489" t="s">
        <v>13</v>
      </c>
      <c r="J55" s="523"/>
      <c r="K55" s="17">
        <f>G46/K49</f>
        <v>0.25101280628507294</v>
      </c>
      <c r="L55" s="260"/>
      <c r="M55" s="260"/>
      <c r="N55" s="260"/>
      <c r="O55" s="260"/>
      <c r="P55" s="260"/>
      <c r="Q55" s="260"/>
    </row>
    <row r="56" spans="2:17" ht="15.05" thickBot="1">
      <c r="B56" s="489" t="s">
        <v>403</v>
      </c>
      <c r="C56" s="488"/>
      <c r="D56" s="488"/>
      <c r="E56" s="488"/>
      <c r="F56" s="536"/>
      <c r="G56" s="274">
        <f ca="1">'4. CHARGES FIXES'!J18/(1-G55)</f>
        <v>73050.390517344262</v>
      </c>
      <c r="H56" s="488"/>
      <c r="I56" s="489" t="s">
        <v>405</v>
      </c>
      <c r="J56" s="488"/>
      <c r="K56" s="274">
        <f ca="1">'4. CHARGES FIXES'!J18/(1-K55)</f>
        <v>69373.222468718581</v>
      </c>
      <c r="L56" s="260"/>
      <c r="M56" s="260"/>
      <c r="N56" s="260"/>
      <c r="O56" s="260"/>
      <c r="P56" s="260"/>
      <c r="Q56" s="260"/>
    </row>
    <row r="57" spans="2:17" ht="15.05" thickBot="1">
      <c r="B57" s="537" t="s">
        <v>404</v>
      </c>
      <c r="C57" s="488"/>
      <c r="D57" s="488"/>
      <c r="E57" s="488"/>
      <c r="F57" s="536"/>
      <c r="G57" s="275">
        <f ca="1">G56/G49</f>
        <v>17992.707023976422</v>
      </c>
      <c r="H57" s="488"/>
      <c r="I57" s="489" t="s">
        <v>406</v>
      </c>
      <c r="J57" s="488"/>
      <c r="K57" s="275">
        <f ca="1">K56/K49</f>
        <v>14855.679962998322</v>
      </c>
      <c r="L57" s="260"/>
      <c r="M57" s="260"/>
      <c r="N57" s="260"/>
      <c r="O57" s="260"/>
      <c r="P57" s="260"/>
      <c r="Q57" s="260"/>
    </row>
    <row r="58" spans="2:17" ht="15.05" thickBot="1">
      <c r="B58" s="488"/>
      <c r="C58" s="488"/>
      <c r="D58" s="488"/>
      <c r="E58" s="488"/>
      <c r="F58" s="536"/>
      <c r="G58" s="488"/>
      <c r="H58" s="488"/>
      <c r="I58" s="488"/>
      <c r="J58" s="488"/>
      <c r="K58" s="521"/>
      <c r="L58" s="260"/>
      <c r="M58" s="260"/>
      <c r="N58" s="260"/>
      <c r="O58" s="260"/>
      <c r="P58" s="260"/>
      <c r="Q58" s="260"/>
    </row>
    <row r="59" spans="2:17" ht="13.15">
      <c r="B59" s="907" t="s">
        <v>298</v>
      </c>
      <c r="C59" s="908"/>
      <c r="D59" s="908"/>
      <c r="E59" s="908"/>
      <c r="F59" s="908"/>
      <c r="G59" s="908"/>
      <c r="H59" s="908"/>
      <c r="I59" s="908"/>
      <c r="J59" s="909"/>
      <c r="K59" s="521"/>
      <c r="L59" s="260"/>
      <c r="M59" s="260"/>
      <c r="N59" s="260"/>
      <c r="O59" s="260"/>
      <c r="P59" s="260"/>
      <c r="Q59" s="260"/>
    </row>
    <row r="60" spans="2:17" ht="13.15">
      <c r="B60" s="538" t="s">
        <v>41</v>
      </c>
      <c r="C60" s="538" t="s">
        <v>299</v>
      </c>
      <c r="D60" s="538" t="s">
        <v>168</v>
      </c>
      <c r="E60" s="538" t="s">
        <v>301</v>
      </c>
      <c r="F60" s="538" t="s">
        <v>169</v>
      </c>
      <c r="G60" s="538" t="s">
        <v>172</v>
      </c>
      <c r="H60" s="538" t="s">
        <v>170</v>
      </c>
      <c r="I60" s="538" t="s">
        <v>174</v>
      </c>
      <c r="J60" s="538" t="s">
        <v>179</v>
      </c>
      <c r="K60" s="488"/>
    </row>
    <row r="61" spans="2:17" ht="13.15">
      <c r="B61" s="539" t="s">
        <v>46</v>
      </c>
      <c r="C61" s="540">
        <v>20</v>
      </c>
      <c r="D61" s="540">
        <v>0</v>
      </c>
      <c r="E61" s="276">
        <f>C61+D61</f>
        <v>20</v>
      </c>
      <c r="F61" s="540"/>
      <c r="G61" s="540"/>
      <c r="H61" s="276">
        <f t="shared" ref="H61:H62" si="4">G61*D61/60</f>
        <v>0</v>
      </c>
      <c r="I61" s="541"/>
      <c r="J61" s="277" cm="1">
        <f t="array" ref="J61">_xlfn.IFS(I61=Listes!$C$2,'1. DONNEES DE BASE'!$B$2*H61,'FT_PROD (8)'!I61=Listes!$C$3,'1. DONNEES DE BASE'!$B$3*'FT_PROD (8)'!H61,TRUE,0)</f>
        <v>0</v>
      </c>
      <c r="K61" s="488"/>
    </row>
    <row r="62" spans="2:17" ht="13.15">
      <c r="B62" s="539" t="s">
        <v>45</v>
      </c>
      <c r="C62" s="540">
        <v>120</v>
      </c>
      <c r="D62" s="540">
        <v>0</v>
      </c>
      <c r="E62" s="276">
        <f t="shared" ref="E62:E72" si="5">C62+D62</f>
        <v>120</v>
      </c>
      <c r="F62" s="540"/>
      <c r="G62" s="540"/>
      <c r="H62" s="276">
        <f t="shared" si="4"/>
        <v>0</v>
      </c>
      <c r="I62" s="541"/>
      <c r="J62" s="277" cm="1">
        <f t="array" ref="J62">_xlfn.IFS(I62=Listes!$C$2,'1. DONNEES DE BASE'!$B$2*H62,'FT_PROD (8)'!I62=Listes!$C$3,'1. DONNEES DE BASE'!$B$3*'FT_PROD (8)'!H62,TRUE,0)</f>
        <v>0</v>
      </c>
      <c r="K62" s="488"/>
    </row>
    <row r="63" spans="2:17" ht="13.15">
      <c r="B63" s="539" t="s">
        <v>42</v>
      </c>
      <c r="C63" s="540">
        <v>10</v>
      </c>
      <c r="D63" s="542">
        <v>120</v>
      </c>
      <c r="E63" s="276">
        <f t="shared" si="5"/>
        <v>130</v>
      </c>
      <c r="F63" s="540" t="s">
        <v>173</v>
      </c>
      <c r="G63" s="540">
        <v>3</v>
      </c>
      <c r="H63" s="276">
        <f>G63*D63/60</f>
        <v>6</v>
      </c>
      <c r="I63" s="541" t="s">
        <v>175</v>
      </c>
      <c r="J63" s="277" cm="1">
        <f t="array" ref="J63">_xlfn.IFS(I63=Listes!$C$2,'1. DONNEES DE BASE'!$B$2*H63,'FT_PROD (8)'!I63=Listes!$C$3,'1. DONNEES DE BASE'!$B$3*'FT_PROD (8)'!H63,TRUE,0)</f>
        <v>0.48180000000000001</v>
      </c>
      <c r="K63" s="488"/>
    </row>
    <row r="64" spans="2:17" ht="13.15">
      <c r="B64" s="539" t="s">
        <v>43</v>
      </c>
      <c r="C64" s="540">
        <v>3</v>
      </c>
      <c r="D64" s="540">
        <v>0</v>
      </c>
      <c r="E64" s="276">
        <f t="shared" si="5"/>
        <v>3</v>
      </c>
      <c r="F64" s="540"/>
      <c r="G64" s="540"/>
      <c r="H64" s="276">
        <f t="shared" ref="H64:H72" si="6">G64*D64/60</f>
        <v>0</v>
      </c>
      <c r="I64" s="541"/>
      <c r="J64" s="277" cm="1">
        <f t="array" ref="J64">_xlfn.IFS(I64=Listes!$C$2,'1. DONNEES DE BASE'!$B$2*H64,'FT_PROD (8)'!I64=Listes!$C$3,'1. DONNEES DE BASE'!$B$3*'FT_PROD (8)'!H64,TRUE,0)</f>
        <v>0</v>
      </c>
      <c r="K64" s="488"/>
    </row>
    <row r="65" spans="2:11" ht="13.15">
      <c r="B65" s="539" t="s">
        <v>44</v>
      </c>
      <c r="C65" s="540">
        <v>15</v>
      </c>
      <c r="D65" s="542">
        <v>120</v>
      </c>
      <c r="E65" s="276">
        <f t="shared" si="5"/>
        <v>135</v>
      </c>
      <c r="F65" s="540"/>
      <c r="G65" s="540">
        <v>2</v>
      </c>
      <c r="H65" s="276">
        <f t="shared" si="6"/>
        <v>4</v>
      </c>
      <c r="I65" s="541" t="s">
        <v>176</v>
      </c>
      <c r="J65" s="277" cm="1">
        <f t="array" ref="J65">_xlfn.IFS(I65=Listes!$C$2,'1. DONNEES DE BASE'!$B$2*H65,'FT_PROD (8)'!I65=Listes!$C$3,'1. DONNEES DE BASE'!$B$3*'FT_PROD (8)'!H65,TRUE,0)</f>
        <v>0.8</v>
      </c>
      <c r="K65" s="488"/>
    </row>
    <row r="66" spans="2:11" ht="13.15">
      <c r="B66" s="539" t="s">
        <v>27</v>
      </c>
      <c r="C66" s="540">
        <v>120</v>
      </c>
      <c r="D66" s="540">
        <v>0</v>
      </c>
      <c r="E66" s="276">
        <f t="shared" si="5"/>
        <v>120</v>
      </c>
      <c r="F66" s="540"/>
      <c r="G66" s="540"/>
      <c r="H66" s="276">
        <f t="shared" si="6"/>
        <v>0</v>
      </c>
      <c r="I66" s="541"/>
      <c r="J66" s="277" cm="1">
        <f t="array" ref="J66">_xlfn.IFS(I66=Listes!$C$2,'1. DONNEES DE BASE'!$B$2*H66,'FT_PROD (8)'!I66=Listes!$C$3,'1. DONNEES DE BASE'!$B$3*'FT_PROD (8)'!H66,TRUE,0)</f>
        <v>0</v>
      </c>
      <c r="K66" s="488"/>
    </row>
    <row r="67" spans="2:11" ht="13.15">
      <c r="B67" s="543" t="s">
        <v>167</v>
      </c>
      <c r="C67" s="540">
        <v>0</v>
      </c>
      <c r="D67" s="540">
        <v>0</v>
      </c>
      <c r="E67" s="276">
        <f t="shared" si="5"/>
        <v>0</v>
      </c>
      <c r="F67" s="540"/>
      <c r="G67" s="540"/>
      <c r="H67" s="276">
        <f t="shared" si="6"/>
        <v>0</v>
      </c>
      <c r="I67" s="541"/>
      <c r="J67" s="277" cm="1">
        <f t="array" ref="J67">_xlfn.IFS(I67=Listes!$C$2,'1. DONNEES DE BASE'!$B$2*H67,'FT_PROD (8)'!I67=Listes!$C$3,'1. DONNEES DE BASE'!$B$3*'FT_PROD (8)'!H67,TRUE,0)</f>
        <v>0</v>
      </c>
      <c r="K67" s="488"/>
    </row>
    <row r="68" spans="2:11" ht="13.15">
      <c r="B68" s="543" t="s">
        <v>48</v>
      </c>
      <c r="C68" s="540">
        <v>0</v>
      </c>
      <c r="D68" s="540">
        <v>15</v>
      </c>
      <c r="E68" s="276">
        <f t="shared" si="5"/>
        <v>15</v>
      </c>
      <c r="F68" s="540" t="s">
        <v>171</v>
      </c>
      <c r="G68" s="540">
        <v>3.55</v>
      </c>
      <c r="H68" s="276">
        <f t="shared" si="6"/>
        <v>0.88749999999999996</v>
      </c>
      <c r="I68" s="541" t="s">
        <v>176</v>
      </c>
      <c r="J68" s="277" cm="1">
        <f t="array" ref="J68">_xlfn.IFS(I68=Listes!$C$2,'1. DONNEES DE BASE'!$B$2*H68,'FT_PROD (8)'!I68=Listes!$C$3,'1. DONNEES DE BASE'!$B$3*'FT_PROD (8)'!H68,TRUE,0)</f>
        <v>0.17749999999999999</v>
      </c>
      <c r="K68" s="488"/>
    </row>
    <row r="69" spans="2:11" ht="13.15">
      <c r="B69" s="543" t="s">
        <v>302</v>
      </c>
      <c r="C69" s="540">
        <v>0</v>
      </c>
      <c r="D69" s="540">
        <v>0</v>
      </c>
      <c r="E69" s="276">
        <f t="shared" si="5"/>
        <v>0</v>
      </c>
      <c r="F69" s="540"/>
      <c r="G69" s="540"/>
      <c r="H69" s="276">
        <f t="shared" si="6"/>
        <v>0</v>
      </c>
      <c r="I69" s="541"/>
      <c r="J69" s="277" cm="1">
        <f t="array" ref="J69">_xlfn.IFS(I69=Listes!$C$2,'1. DONNEES DE BASE'!$B$2*H69,'FT_PROD (8)'!I69=Listes!$C$3,'1. DONNEES DE BASE'!$B$3*'FT_PROD (8)'!H69,TRUE,0)</f>
        <v>0</v>
      </c>
      <c r="K69" s="488"/>
    </row>
    <row r="70" spans="2:11" ht="13.15">
      <c r="B70" s="543" t="s">
        <v>303</v>
      </c>
      <c r="C70" s="540">
        <v>0</v>
      </c>
      <c r="D70" s="540">
        <v>0</v>
      </c>
      <c r="E70" s="276">
        <f t="shared" si="5"/>
        <v>0</v>
      </c>
      <c r="F70" s="540"/>
      <c r="G70" s="540"/>
      <c r="H70" s="276">
        <f t="shared" si="6"/>
        <v>0</v>
      </c>
      <c r="I70" s="541"/>
      <c r="J70" s="277" cm="1">
        <f t="array" ref="J70">_xlfn.IFS(I70=Listes!$C$2,'1. DONNEES DE BASE'!$B$2*H70,'FT_PROD (8)'!I70=Listes!$C$3,'1. DONNEES DE BASE'!$B$3*'FT_PROD (8)'!H70,TRUE,0)</f>
        <v>0</v>
      </c>
      <c r="K70" s="488"/>
    </row>
    <row r="71" spans="2:11" ht="13.15">
      <c r="B71" s="543" t="s">
        <v>304</v>
      </c>
      <c r="C71" s="540">
        <v>0</v>
      </c>
      <c r="D71" s="540">
        <v>0</v>
      </c>
      <c r="E71" s="276">
        <f t="shared" si="5"/>
        <v>0</v>
      </c>
      <c r="F71" s="540"/>
      <c r="G71" s="540"/>
      <c r="H71" s="276">
        <f t="shared" si="6"/>
        <v>0</v>
      </c>
      <c r="I71" s="541"/>
      <c r="J71" s="277" cm="1">
        <f t="array" ref="J71">_xlfn.IFS(I71=Listes!$C$2,'1. DONNEES DE BASE'!$B$2*H71,'FT_PROD (8)'!I71=Listes!$C$3,'1. DONNEES DE BASE'!$B$3*'FT_PROD (8)'!H71,TRUE,0)</f>
        <v>0</v>
      </c>
      <c r="K71" s="488"/>
    </row>
    <row r="72" spans="2:11" ht="13.15">
      <c r="B72" s="543" t="s">
        <v>305</v>
      </c>
      <c r="C72" s="540">
        <v>0</v>
      </c>
      <c r="D72" s="540">
        <v>0</v>
      </c>
      <c r="E72" s="276">
        <f t="shared" si="5"/>
        <v>0</v>
      </c>
      <c r="F72" s="540"/>
      <c r="G72" s="540"/>
      <c r="H72" s="276">
        <f t="shared" si="6"/>
        <v>0</v>
      </c>
      <c r="I72" s="541"/>
      <c r="J72" s="277" cm="1">
        <f t="array" ref="J72">_xlfn.IFS(I72=Listes!$C$2,'1. DONNEES DE BASE'!$B$2*H72,'FT_PROD (8)'!I72=Listes!$C$3,'1. DONNEES DE BASE'!$B$3*'FT_PROD (8)'!H72,TRUE,0)</f>
        <v>0</v>
      </c>
      <c r="K72" s="488"/>
    </row>
    <row r="73" spans="2:11" ht="13.8" thickBot="1">
      <c r="B73" s="278" t="s">
        <v>47</v>
      </c>
      <c r="C73" s="279">
        <f>SUM(C61:C72)</f>
        <v>288</v>
      </c>
      <c r="D73" s="279">
        <f>SUM(D61:D72)</f>
        <v>255</v>
      </c>
      <c r="E73" s="279">
        <f>SUM(E61:E72)</f>
        <v>543</v>
      </c>
      <c r="F73" s="279"/>
      <c r="G73" s="279"/>
      <c r="H73" s="279">
        <f>SUM(H61:H72)</f>
        <v>10.887499999999999</v>
      </c>
      <c r="I73" s="279"/>
      <c r="J73" s="18">
        <f>SUMIF(J61:J72,"&lt;&gt;#N/A")</f>
        <v>1.4593</v>
      </c>
      <c r="K73" s="488"/>
    </row>
    <row r="74" spans="2:11">
      <c r="B74" s="488"/>
      <c r="C74" s="488"/>
      <c r="D74" s="488"/>
      <c r="E74" s="488"/>
      <c r="F74" s="488"/>
      <c r="G74" s="488"/>
      <c r="H74" s="488"/>
      <c r="I74" s="488"/>
      <c r="J74" s="488"/>
      <c r="K74" s="488"/>
    </row>
    <row r="75" spans="2:11">
      <c r="B75" s="488"/>
      <c r="C75" s="488"/>
      <c r="D75" s="488"/>
      <c r="E75" s="488"/>
      <c r="F75" s="488"/>
      <c r="G75" s="488"/>
      <c r="H75" s="488"/>
      <c r="I75" s="488"/>
      <c r="J75" s="488"/>
      <c r="K75" s="488"/>
    </row>
    <row r="76" spans="2:11">
      <c r="B76" s="544" t="s">
        <v>531</v>
      </c>
      <c r="C76" s="544"/>
      <c r="D76" s="488"/>
      <c r="E76" s="488"/>
      <c r="F76" s="488"/>
      <c r="G76" s="488"/>
      <c r="H76" s="488"/>
      <c r="I76" s="488"/>
      <c r="J76" s="488"/>
      <c r="K76" s="488"/>
    </row>
    <row r="77" spans="2:11" ht="13.15">
      <c r="B77" s="545" t="s">
        <v>532</v>
      </c>
      <c r="C77" s="280">
        <f>SUMIFS(G17:G32,C17:C32,"Auto")</f>
        <v>175</v>
      </c>
      <c r="D77" s="488"/>
      <c r="E77" s="488"/>
      <c r="F77" s="488"/>
      <c r="G77" s="488"/>
      <c r="H77" s="488"/>
      <c r="I77" s="488"/>
      <c r="J77" s="488"/>
      <c r="K77" s="488"/>
    </row>
    <row r="78" spans="2:11" ht="13.15">
      <c r="B78" s="545" t="s">
        <v>533</v>
      </c>
      <c r="C78" s="281">
        <f>C77/D8</f>
        <v>0.77777777777777779</v>
      </c>
      <c r="D78" s="488"/>
      <c r="E78" s="488"/>
      <c r="F78" s="488"/>
      <c r="G78" s="488"/>
      <c r="H78" s="488"/>
      <c r="I78" s="488"/>
      <c r="J78" s="488"/>
      <c r="K78" s="488"/>
    </row>
  </sheetData>
  <sheetProtection algorithmName="SHA-512" hashValue="UaNZMKam3U7kF4egEiZtmAp79gc4uDiPn+pqy3AsW2BVQRxiGtvi6AQA8INHDB02t/onwBc4iR3h4G6l1Z5wzg==" saltValue="S8qVPh1fbVQWS7L/ASZX8Q==" spinCount="100000" sheet="1" objects="1" scenarios="1" sort="0" autoFilter="0"/>
  <protectedRanges>
    <protectedRange sqref="I61:I72" name="TYpe energie"/>
    <protectedRange sqref="C2:C3 D5:D6 D8 D10:D11 G11:G12" name="Données de base"/>
    <protectedRange sqref="I17:K32 I34:K42 B34:F42 B17:F32" name="Ingred et consommables"/>
    <protectedRange sqref="B61:D72 F61:G72" name="Energie et travail"/>
  </protectedRanges>
  <mergeCells count="17">
    <mergeCell ref="B33:F3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I16:K16"/>
    <mergeCell ref="B43:F43"/>
    <mergeCell ref="B44:F44"/>
    <mergeCell ref="B48:G48"/>
    <mergeCell ref="I48:K48"/>
    <mergeCell ref="B59:J59"/>
  </mergeCells>
  <dataValidations count="2">
    <dataValidation type="list" allowBlank="1" showInputMessage="1" showErrorMessage="1" errorTitle="Consommable invalide" error="Veuillez sélectionner un consommable dans la liste." sqref="B34:B42" xr:uid="{98419002-28F0-464C-BA16-B71964C53A63}">
      <formula1>ListeConsommables</formula1>
    </dataValidation>
    <dataValidation type="list" allowBlank="1" showInputMessage="1" showErrorMessage="1" errorTitle="Ingrédient invalide" error="Veuillez sélectionner un ingrédient dans la liste." sqref="B17:B32" xr:uid="{283A5050-83D0-4958-9F68-9C0B9415268A}">
      <formula1>ListeIngredients</formula1>
    </dataValidation>
  </dataValidations>
  <pageMargins left="0.39370078740157483" right="0.39370078740157483" top="0.39370078740157483" bottom="0.39370078740157483" header="0.51181102362204722" footer="0.51181102362204722"/>
  <pageSetup paperSize="9" scale="6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764AD1-EED3-4A6F-94D6-F3915826CA44}">
          <x14:formula1>
            <xm:f>Listes!$C$2:$C$5</xm:f>
          </x14:formula1>
          <xm:sqref>I61:I63 I65:I72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53EB4-CE45-4F74-8623-60C1AA19E597}">
  <dimension ref="A1:G47"/>
  <sheetViews>
    <sheetView workbookViewId="0">
      <selection activeCell="G48" sqref="G48"/>
    </sheetView>
  </sheetViews>
  <sheetFormatPr baseColWidth="10" defaultRowHeight="15.05"/>
  <cols>
    <col min="1" max="1" width="40.77734375" customWidth="1"/>
    <col min="6" max="6" width="38.6640625" customWidth="1"/>
  </cols>
  <sheetData>
    <row r="1" spans="1:7">
      <c r="A1" s="297" t="s">
        <v>164</v>
      </c>
      <c r="B1" s="297"/>
      <c r="C1" s="297" t="s">
        <v>174</v>
      </c>
      <c r="D1" s="297"/>
      <c r="E1" s="297"/>
      <c r="F1" s="297" t="s">
        <v>465</v>
      </c>
      <c r="G1" s="297"/>
    </row>
    <row r="2" spans="1:7">
      <c r="A2" s="546" t="s">
        <v>52</v>
      </c>
      <c r="B2" s="297"/>
      <c r="C2" s="297" t="s">
        <v>175</v>
      </c>
      <c r="D2" s="297"/>
      <c r="E2" s="297"/>
      <c r="F2" s="376" t="s">
        <v>23</v>
      </c>
      <c r="G2" s="112" t="s">
        <v>327</v>
      </c>
    </row>
    <row r="3" spans="1:7">
      <c r="A3" s="547" t="s">
        <v>64</v>
      </c>
      <c r="B3" s="297"/>
      <c r="C3" s="297" t="s">
        <v>176</v>
      </c>
      <c r="D3" s="297"/>
      <c r="E3" s="297"/>
      <c r="F3" s="376" t="s">
        <v>181</v>
      </c>
      <c r="G3" s="112" t="s">
        <v>332</v>
      </c>
    </row>
    <row r="4" spans="1:7">
      <c r="A4" s="547" t="s">
        <v>65</v>
      </c>
      <c r="B4" s="297"/>
      <c r="C4" s="297" t="s">
        <v>51</v>
      </c>
      <c r="D4" s="297"/>
      <c r="E4" s="297"/>
      <c r="F4" s="376" t="s">
        <v>183</v>
      </c>
      <c r="G4" s="112" t="s">
        <v>328</v>
      </c>
    </row>
    <row r="5" spans="1:7">
      <c r="A5" s="548" t="s">
        <v>67</v>
      </c>
      <c r="B5" s="297"/>
      <c r="C5" s="297"/>
      <c r="D5" s="297"/>
      <c r="E5" s="297"/>
      <c r="F5" s="376" t="s">
        <v>184</v>
      </c>
      <c r="G5" s="112" t="s">
        <v>329</v>
      </c>
    </row>
    <row r="6" spans="1:7">
      <c r="A6" s="549" t="s">
        <v>68</v>
      </c>
      <c r="B6" s="297"/>
      <c r="C6" s="297"/>
      <c r="D6" s="297"/>
      <c r="E6" s="297"/>
      <c r="F6" s="376" t="s">
        <v>185</v>
      </c>
      <c r="G6" s="112" t="s">
        <v>330</v>
      </c>
    </row>
    <row r="7" spans="1:7">
      <c r="A7" s="548" t="s">
        <v>69</v>
      </c>
      <c r="B7" s="297"/>
      <c r="C7" s="297"/>
      <c r="D7" s="297"/>
      <c r="E7" s="297"/>
      <c r="F7" s="376" t="s">
        <v>182</v>
      </c>
      <c r="G7" s="112" t="s">
        <v>331</v>
      </c>
    </row>
    <row r="8" spans="1:7">
      <c r="A8" s="549" t="s">
        <v>70</v>
      </c>
      <c r="B8" s="297"/>
      <c r="C8" s="297"/>
      <c r="D8" s="297"/>
      <c r="E8" s="297"/>
      <c r="F8" s="376" t="s">
        <v>444</v>
      </c>
      <c r="G8" s="112" t="s">
        <v>445</v>
      </c>
    </row>
    <row r="9" spans="1:7">
      <c r="A9" s="282" t="s">
        <v>62</v>
      </c>
      <c r="B9" s="297"/>
      <c r="C9" s="297"/>
      <c r="D9" s="297"/>
      <c r="E9" s="297"/>
      <c r="F9" s="376" t="s">
        <v>293</v>
      </c>
      <c r="G9" s="112" t="s">
        <v>433</v>
      </c>
    </row>
    <row r="10" spans="1:7">
      <c r="A10" s="287"/>
      <c r="B10" s="297"/>
      <c r="C10" s="297"/>
      <c r="D10" s="297"/>
      <c r="E10" s="297"/>
      <c r="F10" s="376" t="s">
        <v>408</v>
      </c>
      <c r="G10" s="112" t="s">
        <v>421</v>
      </c>
    </row>
    <row r="11" spans="1:7">
      <c r="A11" s="287"/>
      <c r="B11" s="297"/>
      <c r="C11" s="297"/>
      <c r="D11" s="297"/>
      <c r="E11" s="297"/>
      <c r="F11" s="376" t="s">
        <v>409</v>
      </c>
      <c r="G11" s="112" t="s">
        <v>422</v>
      </c>
    </row>
    <row r="12" spans="1:7">
      <c r="A12" s="287"/>
      <c r="B12" s="297"/>
      <c r="C12" s="297"/>
      <c r="D12" s="297"/>
      <c r="E12" s="297"/>
      <c r="F12" s="389" t="s">
        <v>420</v>
      </c>
      <c r="G12" s="112" t="s">
        <v>419</v>
      </c>
    </row>
    <row r="13" spans="1:7">
      <c r="A13" s="287"/>
      <c r="B13" s="297"/>
      <c r="C13" s="297"/>
      <c r="D13" s="297"/>
      <c r="E13" s="297"/>
      <c r="F13" s="389" t="s">
        <v>424</v>
      </c>
      <c r="G13" s="112" t="s">
        <v>425</v>
      </c>
    </row>
    <row r="14" spans="1:7">
      <c r="A14" s="287"/>
      <c r="B14" s="297"/>
      <c r="C14" s="297"/>
      <c r="D14" s="297"/>
      <c r="E14" s="297"/>
      <c r="F14" s="389" t="s">
        <v>423</v>
      </c>
      <c r="G14" s="112" t="s">
        <v>414</v>
      </c>
    </row>
    <row r="15" spans="1:7">
      <c r="A15" s="287"/>
      <c r="B15" s="297"/>
      <c r="C15" s="297"/>
      <c r="D15" s="297"/>
      <c r="E15" s="297"/>
      <c r="F15" s="389" t="s">
        <v>412</v>
      </c>
      <c r="G15" s="112" t="s">
        <v>415</v>
      </c>
    </row>
    <row r="16" spans="1:7">
      <c r="A16" s="287"/>
      <c r="B16" s="297"/>
      <c r="C16" s="297"/>
      <c r="D16" s="297"/>
      <c r="E16" s="297"/>
      <c r="F16" s="389" t="s">
        <v>413</v>
      </c>
      <c r="G16" s="112" t="s">
        <v>416</v>
      </c>
    </row>
    <row r="17" spans="1:7">
      <c r="A17" s="287"/>
      <c r="B17" s="297"/>
      <c r="C17" s="297"/>
      <c r="D17" s="297"/>
      <c r="E17" s="297"/>
      <c r="F17" s="389" t="s">
        <v>441</v>
      </c>
      <c r="G17" s="112" t="s">
        <v>417</v>
      </c>
    </row>
    <row r="18" spans="1:7">
      <c r="A18" s="287"/>
      <c r="B18" s="297"/>
      <c r="C18" s="297"/>
      <c r="D18" s="297"/>
      <c r="E18" s="297"/>
      <c r="F18" s="377" t="s">
        <v>442</v>
      </c>
      <c r="G18" s="112" t="s">
        <v>443</v>
      </c>
    </row>
    <row r="19" spans="1:7">
      <c r="A19" s="287"/>
      <c r="B19" s="297"/>
      <c r="C19" s="297"/>
      <c r="D19" s="297"/>
      <c r="E19" s="297"/>
      <c r="F19" s="377" t="s">
        <v>512</v>
      </c>
      <c r="G19" s="170" t="s">
        <v>418</v>
      </c>
    </row>
    <row r="20" spans="1:7">
      <c r="A20" s="287"/>
      <c r="B20" s="297"/>
      <c r="C20" s="297"/>
      <c r="D20" s="297"/>
      <c r="E20" s="297"/>
      <c r="F20" s="550" t="s">
        <v>39</v>
      </c>
      <c r="G20" s="283" t="s">
        <v>466</v>
      </c>
    </row>
    <row r="21" spans="1:7">
      <c r="A21" s="287"/>
      <c r="B21" s="297"/>
      <c r="C21" s="297"/>
      <c r="D21" s="297"/>
      <c r="E21" s="297"/>
      <c r="F21" s="550" t="s">
        <v>467</v>
      </c>
      <c r="G21" s="283" t="s">
        <v>468</v>
      </c>
    </row>
    <row r="22" spans="1:7">
      <c r="A22" s="287"/>
      <c r="B22" s="297"/>
      <c r="C22" s="297"/>
      <c r="D22" s="297"/>
      <c r="E22" s="297"/>
      <c r="F22" s="550" t="s">
        <v>36</v>
      </c>
      <c r="G22" s="283" t="s">
        <v>445</v>
      </c>
    </row>
    <row r="23" spans="1:7">
      <c r="A23" s="287"/>
      <c r="B23" s="297"/>
      <c r="C23" s="297"/>
      <c r="D23" s="297"/>
      <c r="E23" s="297"/>
      <c r="F23" s="550" t="s">
        <v>34</v>
      </c>
      <c r="G23" s="283" t="s">
        <v>469</v>
      </c>
    </row>
    <row r="24" spans="1:7">
      <c r="A24" s="287"/>
      <c r="B24" s="297"/>
      <c r="C24" s="297"/>
      <c r="D24" s="297"/>
      <c r="E24" s="297"/>
      <c r="F24" s="550" t="s">
        <v>470</v>
      </c>
      <c r="G24" s="283" t="s">
        <v>471</v>
      </c>
    </row>
    <row r="25" spans="1:7">
      <c r="A25" s="287"/>
      <c r="B25" s="297"/>
      <c r="C25" s="297"/>
      <c r="D25" s="297"/>
      <c r="E25" s="297"/>
      <c r="F25" s="550" t="s">
        <v>33</v>
      </c>
      <c r="G25" s="283" t="s">
        <v>472</v>
      </c>
    </row>
    <row r="26" spans="1:7">
      <c r="A26" s="287"/>
      <c r="B26" s="297"/>
      <c r="C26" s="297"/>
      <c r="D26" s="297"/>
      <c r="E26" s="297"/>
      <c r="F26" s="550" t="s">
        <v>24</v>
      </c>
      <c r="G26" s="283" t="s">
        <v>473</v>
      </c>
    </row>
    <row r="27" spans="1:7">
      <c r="A27" s="287"/>
      <c r="B27" s="297"/>
      <c r="C27" s="297"/>
      <c r="D27" s="297"/>
      <c r="E27" s="297"/>
      <c r="F27" s="550" t="s">
        <v>474</v>
      </c>
      <c r="G27" s="283" t="s">
        <v>475</v>
      </c>
    </row>
    <row r="28" spans="1:7">
      <c r="A28" s="287"/>
      <c r="B28" s="297"/>
      <c r="C28" s="297"/>
      <c r="D28" s="297"/>
      <c r="E28" s="297"/>
      <c r="F28" s="550" t="s">
        <v>476</v>
      </c>
      <c r="G28" s="283" t="s">
        <v>477</v>
      </c>
    </row>
    <row r="29" spans="1:7">
      <c r="A29" s="287"/>
      <c r="B29" s="297"/>
      <c r="C29" s="297"/>
      <c r="D29" s="297"/>
      <c r="E29" s="297"/>
      <c r="F29" s="550" t="s">
        <v>478</v>
      </c>
      <c r="G29" s="283" t="s">
        <v>338</v>
      </c>
    </row>
    <row r="30" spans="1:7">
      <c r="A30" s="287"/>
      <c r="B30" s="297"/>
      <c r="C30" s="297"/>
      <c r="D30" s="297"/>
      <c r="E30" s="297"/>
      <c r="F30" s="550" t="s">
        <v>479</v>
      </c>
      <c r="G30" s="283" t="s">
        <v>480</v>
      </c>
    </row>
    <row r="31" spans="1:7">
      <c r="A31" s="287"/>
      <c r="B31" s="297"/>
      <c r="C31" s="297"/>
      <c r="D31" s="297"/>
      <c r="E31" s="297"/>
      <c r="F31" s="550" t="s">
        <v>481</v>
      </c>
      <c r="G31" s="283" t="s">
        <v>482</v>
      </c>
    </row>
    <row r="32" spans="1:7">
      <c r="A32" s="287"/>
      <c r="B32" s="297"/>
      <c r="C32" s="297"/>
      <c r="D32" s="297"/>
      <c r="E32" s="297"/>
      <c r="F32" s="550" t="s">
        <v>483</v>
      </c>
      <c r="G32" s="283" t="s">
        <v>484</v>
      </c>
    </row>
    <row r="33" spans="1:7">
      <c r="A33" s="287"/>
      <c r="B33" s="297"/>
      <c r="C33" s="297"/>
      <c r="D33" s="297"/>
      <c r="E33" s="297"/>
      <c r="F33" s="550" t="s">
        <v>485</v>
      </c>
      <c r="G33" s="283" t="s">
        <v>486</v>
      </c>
    </row>
    <row r="34" spans="1:7">
      <c r="A34" s="287"/>
      <c r="B34" s="297"/>
      <c r="C34" s="297"/>
      <c r="D34" s="297"/>
      <c r="E34" s="297"/>
      <c r="F34" s="550" t="s">
        <v>487</v>
      </c>
      <c r="G34" s="283" t="s">
        <v>488</v>
      </c>
    </row>
    <row r="35" spans="1:7">
      <c r="A35" s="287"/>
      <c r="B35" s="297"/>
      <c r="C35" s="297"/>
      <c r="D35" s="297"/>
      <c r="E35" s="297"/>
      <c r="F35" s="550" t="s">
        <v>489</v>
      </c>
      <c r="G35" s="283" t="s">
        <v>490</v>
      </c>
    </row>
    <row r="36" spans="1:7">
      <c r="A36" s="287"/>
      <c r="B36" s="297"/>
      <c r="C36" s="297"/>
      <c r="D36" s="297"/>
      <c r="E36" s="297"/>
      <c r="F36" s="550" t="s">
        <v>491</v>
      </c>
      <c r="G36" s="283" t="s">
        <v>492</v>
      </c>
    </row>
    <row r="37" spans="1:7">
      <c r="A37" s="287"/>
      <c r="B37" s="297"/>
      <c r="C37" s="297"/>
      <c r="D37" s="297"/>
      <c r="E37" s="297"/>
      <c r="F37" s="550" t="s">
        <v>493</v>
      </c>
      <c r="G37" s="283" t="s">
        <v>494</v>
      </c>
    </row>
    <row r="38" spans="1:7">
      <c r="A38" s="287"/>
      <c r="B38" s="297"/>
      <c r="C38" s="297"/>
      <c r="D38" s="297"/>
      <c r="E38" s="297"/>
      <c r="F38" s="550" t="s">
        <v>495</v>
      </c>
      <c r="G38" s="283" t="s">
        <v>496</v>
      </c>
    </row>
    <row r="39" spans="1:7">
      <c r="A39" s="287"/>
      <c r="B39" s="297"/>
      <c r="C39" s="297"/>
      <c r="D39" s="297"/>
      <c r="E39" s="297"/>
      <c r="F39" s="550" t="s">
        <v>497</v>
      </c>
      <c r="G39" s="283" t="s">
        <v>498</v>
      </c>
    </row>
    <row r="40" spans="1:7">
      <c r="A40" s="297"/>
      <c r="B40" s="297"/>
      <c r="C40" s="297"/>
      <c r="D40" s="297"/>
      <c r="E40" s="297"/>
      <c r="F40" s="550" t="s">
        <v>499</v>
      </c>
      <c r="G40" s="283" t="s">
        <v>500</v>
      </c>
    </row>
    <row r="41" spans="1:7">
      <c r="A41" s="297"/>
      <c r="B41" s="297"/>
      <c r="C41" s="297"/>
      <c r="D41" s="297"/>
      <c r="E41" s="297"/>
      <c r="F41" s="550" t="s">
        <v>501</v>
      </c>
      <c r="G41" s="283" t="s">
        <v>502</v>
      </c>
    </row>
    <row r="42" spans="1:7">
      <c r="A42" s="297"/>
      <c r="B42" s="297"/>
      <c r="C42" s="297"/>
      <c r="D42" s="297"/>
      <c r="E42" s="297"/>
      <c r="F42" s="550" t="s">
        <v>503</v>
      </c>
      <c r="G42" s="283" t="s">
        <v>418</v>
      </c>
    </row>
    <row r="43" spans="1:7">
      <c r="A43" s="297"/>
      <c r="B43" s="297"/>
      <c r="C43" s="297"/>
      <c r="D43" s="297"/>
      <c r="E43" s="297"/>
      <c r="F43" s="550" t="s">
        <v>504</v>
      </c>
      <c r="G43" s="283" t="s">
        <v>505</v>
      </c>
    </row>
    <row r="44" spans="1:7">
      <c r="A44" s="297"/>
      <c r="B44" s="297"/>
      <c r="C44" s="297"/>
      <c r="D44" s="297"/>
      <c r="E44" s="297"/>
      <c r="F44" s="550" t="s">
        <v>506</v>
      </c>
      <c r="G44" s="283" t="s">
        <v>507</v>
      </c>
    </row>
    <row r="45" spans="1:7">
      <c r="A45" s="297"/>
      <c r="B45" s="297"/>
      <c r="C45" s="297"/>
      <c r="D45" s="297"/>
      <c r="E45" s="297"/>
      <c r="F45" s="550" t="s">
        <v>508</v>
      </c>
      <c r="G45" s="283" t="s">
        <v>509</v>
      </c>
    </row>
    <row r="46" spans="1:7">
      <c r="A46" s="297"/>
      <c r="B46" s="297"/>
      <c r="C46" s="297"/>
      <c r="D46" s="297"/>
      <c r="E46" s="297"/>
      <c r="F46" s="550" t="s">
        <v>510</v>
      </c>
      <c r="G46" s="283" t="s">
        <v>511</v>
      </c>
    </row>
    <row r="47" spans="1:7">
      <c r="A47" s="297"/>
      <c r="B47" s="297"/>
      <c r="C47" s="297"/>
      <c r="D47" s="297"/>
      <c r="E47" s="297"/>
      <c r="F47" s="551" t="s">
        <v>538</v>
      </c>
      <c r="G47" s="284" t="s">
        <v>539</v>
      </c>
    </row>
  </sheetData>
  <sheetProtection algorithmName="SHA-512" hashValue="33tWATYrFJ/h1th03GOwUporVLx1Lfa1bQsty3GTG/AXF81TxV0vo6bMOJcb6hUEgGj3uNglZLV28KubuoXdzw==" saltValue="aNsL4rOjincpYiCqzTTozw==" spinCount="100000" sheet="1" objects="1" scenarios="1" sort="0" autoFilter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F05F0-6E10-499A-857D-048DC71C0FE6}">
  <sheetPr>
    <tabColor theme="0"/>
    <pageSetUpPr fitToPage="1"/>
  </sheetPr>
  <dimension ref="B1:AC55"/>
  <sheetViews>
    <sheetView showGridLines="0" zoomScale="85" zoomScaleNormal="85" zoomScaleSheetLayoutView="55" workbookViewId="0">
      <selection activeCell="F19" sqref="F19"/>
    </sheetView>
  </sheetViews>
  <sheetFormatPr baseColWidth="10" defaultColWidth="11.44140625" defaultRowHeight="13.15"/>
  <cols>
    <col min="1" max="1" width="12.88671875" style="34" customWidth="1"/>
    <col min="2" max="2" width="39.6640625" style="56" customWidth="1"/>
    <col min="3" max="3" width="13.44140625" style="34" customWidth="1"/>
    <col min="4" max="4" width="19.5546875" style="57" customWidth="1"/>
    <col min="5" max="5" width="14.6640625" style="57" customWidth="1"/>
    <col min="6" max="6" width="31.44140625" style="34" customWidth="1"/>
    <col min="7" max="7" width="9.109375" style="34" bestFit="1" customWidth="1"/>
    <col min="8" max="8" width="6.6640625" style="34" customWidth="1"/>
    <col min="9" max="9" width="18.44140625" style="34" bestFit="1" customWidth="1"/>
    <col min="10" max="10" width="7" style="34" customWidth="1"/>
    <col min="11" max="11" width="11.88671875" style="34" customWidth="1"/>
    <col min="12" max="12" width="13.88671875" style="34" customWidth="1"/>
    <col min="13" max="13" width="13.77734375" style="36" customWidth="1"/>
    <col min="14" max="20" width="15.6640625" style="34" customWidth="1"/>
    <col min="21" max="21" width="13" style="34" customWidth="1"/>
    <col min="22" max="22" width="8.21875" style="34" customWidth="1"/>
    <col min="23" max="23" width="12.109375" style="35" bestFit="1" customWidth="1"/>
    <col min="24" max="16384" width="11.44140625" style="34"/>
  </cols>
  <sheetData>
    <row r="1" spans="2:29" s="30" customFormat="1"/>
    <row r="2" spans="2:29" s="30" customFormat="1" ht="13.15" customHeight="1">
      <c r="B2" s="760"/>
      <c r="C2" s="760"/>
      <c r="D2" s="760"/>
      <c r="E2" s="760"/>
      <c r="F2" s="760"/>
      <c r="G2" s="760"/>
      <c r="H2" s="760"/>
      <c r="I2" s="760"/>
      <c r="J2" s="760"/>
      <c r="K2" s="760"/>
      <c r="L2" s="31"/>
    </row>
    <row r="3" spans="2:29" s="30" customFormat="1" ht="13.15" customHeight="1">
      <c r="B3" s="760"/>
      <c r="C3" s="760"/>
      <c r="D3" s="760"/>
      <c r="E3" s="760"/>
      <c r="F3" s="760"/>
      <c r="G3" s="760"/>
      <c r="H3" s="760"/>
      <c r="I3" s="760"/>
      <c r="J3" s="760"/>
      <c r="K3" s="760"/>
      <c r="L3" s="32"/>
    </row>
    <row r="4" spans="2:29" s="30" customFormat="1" ht="13.15" customHeight="1">
      <c r="B4" s="33"/>
      <c r="C4" s="33"/>
      <c r="D4" s="33"/>
      <c r="E4" s="33"/>
      <c r="F4" s="33"/>
      <c r="G4" s="33"/>
      <c r="H4" s="33"/>
      <c r="I4" s="33"/>
      <c r="J4" s="33"/>
      <c r="K4" s="33"/>
      <c r="L4" s="34"/>
    </row>
    <row r="5" spans="2:29" s="35" customFormat="1">
      <c r="B5" s="299"/>
      <c r="C5" s="299"/>
      <c r="D5" s="300"/>
      <c r="E5" s="300"/>
      <c r="F5" s="301"/>
      <c r="G5" s="302"/>
      <c r="H5" s="302"/>
      <c r="I5" s="302"/>
      <c r="J5" s="301"/>
      <c r="K5" s="303"/>
      <c r="L5" s="299"/>
      <c r="M5" s="304"/>
      <c r="N5" s="299"/>
      <c r="O5" s="299"/>
      <c r="P5" s="37" t="s">
        <v>82</v>
      </c>
      <c r="Q5" s="299"/>
      <c r="R5" s="299"/>
      <c r="S5" s="299"/>
      <c r="T5" s="299"/>
      <c r="U5" s="299"/>
      <c r="V5" s="299"/>
      <c r="X5" s="34"/>
      <c r="Y5" s="34"/>
      <c r="Z5" s="34"/>
      <c r="AA5" s="34"/>
      <c r="AB5" s="34"/>
      <c r="AC5" s="34"/>
    </row>
    <row r="6" spans="2:29" s="35" customFormat="1">
      <c r="B6" s="38" t="s">
        <v>71</v>
      </c>
      <c r="C6" s="1" t="s">
        <v>63</v>
      </c>
      <c r="D6" s="39" t="s">
        <v>66</v>
      </c>
      <c r="E6" s="39" t="s">
        <v>277</v>
      </c>
      <c r="F6" s="757" t="s">
        <v>50</v>
      </c>
      <c r="G6" s="758"/>
      <c r="H6" s="758"/>
      <c r="I6" s="758"/>
      <c r="J6" s="759"/>
      <c r="K6" s="2" t="s">
        <v>165</v>
      </c>
      <c r="L6" s="40" t="str">
        <f>"avant "&amp;M6</f>
        <v>avant 2023</v>
      </c>
      <c r="M6" s="40">
        <f>'1. DONNEES DE BASE'!B1-3</f>
        <v>2023</v>
      </c>
      <c r="N6" s="40">
        <f>M6+1</f>
        <v>2024</v>
      </c>
      <c r="O6" s="40">
        <f t="shared" ref="O6:T6" si="0">N6+1</f>
        <v>2025</v>
      </c>
      <c r="P6" s="40">
        <f t="shared" si="0"/>
        <v>2026</v>
      </c>
      <c r="Q6" s="40">
        <f t="shared" si="0"/>
        <v>2027</v>
      </c>
      <c r="R6" s="40">
        <f t="shared" si="0"/>
        <v>2028</v>
      </c>
      <c r="S6" s="40">
        <f t="shared" si="0"/>
        <v>2029</v>
      </c>
      <c r="T6" s="40">
        <f t="shared" si="0"/>
        <v>2030</v>
      </c>
      <c r="U6" s="41" t="str">
        <f>"après "&amp;T6</f>
        <v>après 2030</v>
      </c>
      <c r="V6" s="41" t="s">
        <v>278</v>
      </c>
      <c r="X6" s="34"/>
      <c r="Y6" s="34"/>
      <c r="Z6" s="34"/>
      <c r="AA6" s="34"/>
      <c r="AB6" s="34"/>
      <c r="AC6" s="34"/>
    </row>
    <row r="7" spans="2:29">
      <c r="B7" s="305" t="s">
        <v>52</v>
      </c>
      <c r="C7" s="306">
        <v>2023</v>
      </c>
      <c r="D7" s="307">
        <v>3000</v>
      </c>
      <c r="E7" s="308">
        <v>1</v>
      </c>
      <c r="F7" s="309" t="s">
        <v>53</v>
      </c>
      <c r="G7" s="310"/>
      <c r="H7" s="310"/>
      <c r="I7" s="310"/>
      <c r="J7" s="311"/>
      <c r="K7" s="312">
        <v>5</v>
      </c>
      <c r="L7" s="8">
        <f>IF(C7&lt;$P$6-3,MIN(K7,$P$6-3-C7)*(D7*E7/K7),0)</f>
        <v>0</v>
      </c>
      <c r="M7" s="8">
        <f t="shared" ref="M7:T8" si="1">IF(M$6&lt;$C7,0,IF(M$6&gt;($C7+$K7-1),0,SLN($D7*$E7,0,$K7)))</f>
        <v>600</v>
      </c>
      <c r="N7" s="8">
        <f t="shared" si="1"/>
        <v>600</v>
      </c>
      <c r="O7" s="8">
        <f t="shared" si="1"/>
        <v>600</v>
      </c>
      <c r="P7" s="8">
        <f t="shared" si="1"/>
        <v>600</v>
      </c>
      <c r="Q7" s="8">
        <f t="shared" si="1"/>
        <v>600</v>
      </c>
      <c r="R7" s="8">
        <f t="shared" si="1"/>
        <v>0</v>
      </c>
      <c r="S7" s="8">
        <f t="shared" si="1"/>
        <v>0</v>
      </c>
      <c r="T7" s="8">
        <f t="shared" si="1"/>
        <v>0</v>
      </c>
      <c r="U7" s="8">
        <f>IF(T7=0,0,(D7*E7)-(SUM(L7:T7)))</f>
        <v>0</v>
      </c>
      <c r="V7" s="7" t="str">
        <f>IF(SUM(L7:U7)=D7*E7,"OK","PROBLEME")</f>
        <v>OK</v>
      </c>
      <c r="X7" s="42"/>
    </row>
    <row r="8" spans="2:29">
      <c r="B8" s="305" t="s">
        <v>52</v>
      </c>
      <c r="C8" s="306">
        <v>2021</v>
      </c>
      <c r="D8" s="307">
        <v>0</v>
      </c>
      <c r="E8" s="308">
        <v>1</v>
      </c>
      <c r="F8" s="309" t="s">
        <v>54</v>
      </c>
      <c r="G8" s="310"/>
      <c r="H8" s="310"/>
      <c r="I8" s="310"/>
      <c r="J8" s="311"/>
      <c r="K8" s="312">
        <v>5</v>
      </c>
      <c r="L8" s="8">
        <f t="shared" ref="L8:L41" si="2">IF(C8&lt;$P$6-3,MIN(K8,$P$6-3-C8)*(D8*E8/K8),0)</f>
        <v>0</v>
      </c>
      <c r="M8" s="8">
        <f t="shared" si="1"/>
        <v>0</v>
      </c>
      <c r="N8" s="8">
        <f t="shared" si="1"/>
        <v>0</v>
      </c>
      <c r="O8" s="8">
        <f t="shared" si="1"/>
        <v>0</v>
      </c>
      <c r="P8" s="8">
        <f t="shared" si="1"/>
        <v>0</v>
      </c>
      <c r="Q8" s="8">
        <f t="shared" si="1"/>
        <v>0</v>
      </c>
      <c r="R8" s="8">
        <f t="shared" si="1"/>
        <v>0</v>
      </c>
      <c r="S8" s="8">
        <f t="shared" si="1"/>
        <v>0</v>
      </c>
      <c r="T8" s="8">
        <f t="shared" si="1"/>
        <v>0</v>
      </c>
      <c r="U8" s="8">
        <f t="shared" ref="U8:U15" si="3">IF(T8=0,0,(D8*E8)-(SUM(L8:T8)))</f>
        <v>0</v>
      </c>
      <c r="V8" s="7" t="str">
        <f t="shared" ref="V8:V41" si="4">IF(SUM(L8:U8)=D8*E8,"OK","PROBLEME")</f>
        <v>OK</v>
      </c>
      <c r="W8" s="34"/>
    </row>
    <row r="9" spans="2:29">
      <c r="B9" s="305" t="s">
        <v>52</v>
      </c>
      <c r="C9" s="306">
        <v>2020</v>
      </c>
      <c r="D9" s="307">
        <v>1500</v>
      </c>
      <c r="E9" s="308">
        <v>1</v>
      </c>
      <c r="F9" s="309" t="s">
        <v>55</v>
      </c>
      <c r="G9" s="310"/>
      <c r="H9" s="310"/>
      <c r="I9" s="310"/>
      <c r="J9" s="311"/>
      <c r="K9" s="312">
        <v>3</v>
      </c>
      <c r="L9" s="8">
        <f t="shared" si="2"/>
        <v>1500</v>
      </c>
      <c r="M9" s="8">
        <f>IF(M$6&lt;$C9,0,IF(M$6&gt;($C9+$K9-1),0,SLN($D9*$E9,0,$K9)))</f>
        <v>0</v>
      </c>
      <c r="N9" s="8">
        <f t="shared" ref="N9:T22" si="5">IF(N$6&lt;$C9,0,IF(N$6&gt;($C9+$K9-1),0,SLN($D9*$E9,0,$K9)))</f>
        <v>0</v>
      </c>
      <c r="O9" s="8">
        <f t="shared" si="5"/>
        <v>0</v>
      </c>
      <c r="P9" s="8">
        <f t="shared" si="5"/>
        <v>0</v>
      </c>
      <c r="Q9" s="8">
        <f t="shared" si="5"/>
        <v>0</v>
      </c>
      <c r="R9" s="8">
        <f t="shared" si="5"/>
        <v>0</v>
      </c>
      <c r="S9" s="8">
        <f t="shared" si="5"/>
        <v>0</v>
      </c>
      <c r="T9" s="8">
        <f t="shared" si="5"/>
        <v>0</v>
      </c>
      <c r="U9" s="8">
        <f t="shared" si="3"/>
        <v>0</v>
      </c>
      <c r="V9" s="7" t="str">
        <f t="shared" si="4"/>
        <v>OK</v>
      </c>
      <c r="X9" s="42"/>
      <c r="Y9" s="42"/>
    </row>
    <row r="10" spans="2:29">
      <c r="B10" s="305" t="s">
        <v>52</v>
      </c>
      <c r="C10" s="306">
        <v>2021</v>
      </c>
      <c r="D10" s="307">
        <v>0</v>
      </c>
      <c r="E10" s="308">
        <v>1</v>
      </c>
      <c r="F10" s="309" t="s">
        <v>56</v>
      </c>
      <c r="G10" s="310"/>
      <c r="H10" s="310"/>
      <c r="I10" s="310"/>
      <c r="J10" s="311"/>
      <c r="K10" s="312">
        <v>5</v>
      </c>
      <c r="L10" s="8">
        <f t="shared" si="2"/>
        <v>0</v>
      </c>
      <c r="M10" s="8">
        <f t="shared" ref="M10:T41" si="6">IF(M$6&lt;$C10,0,IF(M$6&gt;($C10+$K10-1),0,SLN($D10*$E10,0,$K10)))</f>
        <v>0</v>
      </c>
      <c r="N10" s="8">
        <f t="shared" si="5"/>
        <v>0</v>
      </c>
      <c r="O10" s="8">
        <f t="shared" si="5"/>
        <v>0</v>
      </c>
      <c r="P10" s="8">
        <f t="shared" si="5"/>
        <v>0</v>
      </c>
      <c r="Q10" s="8">
        <f t="shared" si="5"/>
        <v>0</v>
      </c>
      <c r="R10" s="8">
        <f t="shared" si="5"/>
        <v>0</v>
      </c>
      <c r="S10" s="8">
        <f t="shared" si="5"/>
        <v>0</v>
      </c>
      <c r="T10" s="8">
        <f t="shared" si="5"/>
        <v>0</v>
      </c>
      <c r="U10" s="8">
        <f t="shared" si="3"/>
        <v>0</v>
      </c>
      <c r="V10" s="7" t="str">
        <f t="shared" si="4"/>
        <v>OK</v>
      </c>
      <c r="X10" s="42"/>
      <c r="Y10" s="42"/>
    </row>
    <row r="11" spans="2:29">
      <c r="B11" s="313" t="s">
        <v>64</v>
      </c>
      <c r="C11" s="306">
        <v>2021</v>
      </c>
      <c r="D11" s="307">
        <v>0</v>
      </c>
      <c r="E11" s="308">
        <v>1</v>
      </c>
      <c r="F11" s="309" t="s">
        <v>57</v>
      </c>
      <c r="G11" s="310"/>
      <c r="H11" s="310"/>
      <c r="I11" s="310"/>
      <c r="J11" s="311"/>
      <c r="K11" s="312">
        <v>30</v>
      </c>
      <c r="L11" s="8">
        <f t="shared" si="2"/>
        <v>0</v>
      </c>
      <c r="M11" s="8">
        <f t="shared" si="6"/>
        <v>0</v>
      </c>
      <c r="N11" s="8">
        <f t="shared" si="5"/>
        <v>0</v>
      </c>
      <c r="O11" s="8">
        <f t="shared" si="5"/>
        <v>0</v>
      </c>
      <c r="P11" s="8">
        <f t="shared" si="5"/>
        <v>0</v>
      </c>
      <c r="Q11" s="8">
        <f t="shared" si="5"/>
        <v>0</v>
      </c>
      <c r="R11" s="8">
        <f t="shared" si="5"/>
        <v>0</v>
      </c>
      <c r="S11" s="8">
        <f t="shared" si="5"/>
        <v>0</v>
      </c>
      <c r="T11" s="8">
        <f t="shared" si="5"/>
        <v>0</v>
      </c>
      <c r="U11" s="8">
        <f t="shared" si="3"/>
        <v>0</v>
      </c>
      <c r="V11" s="7" t="str">
        <f t="shared" si="4"/>
        <v>OK</v>
      </c>
    </row>
    <row r="12" spans="2:29" ht="13.15" customHeight="1">
      <c r="B12" s="313" t="s">
        <v>65</v>
      </c>
      <c r="C12" s="306">
        <v>2021</v>
      </c>
      <c r="D12" s="307"/>
      <c r="E12" s="308">
        <v>1</v>
      </c>
      <c r="F12" s="309" t="s">
        <v>58</v>
      </c>
      <c r="G12" s="310"/>
      <c r="H12" s="310"/>
      <c r="I12" s="310"/>
      <c r="J12" s="311"/>
      <c r="K12" s="312">
        <v>10</v>
      </c>
      <c r="L12" s="8">
        <f t="shared" si="2"/>
        <v>0</v>
      </c>
      <c r="M12" s="8">
        <f t="shared" si="6"/>
        <v>0</v>
      </c>
      <c r="N12" s="8">
        <f t="shared" si="5"/>
        <v>0</v>
      </c>
      <c r="O12" s="8">
        <f t="shared" si="5"/>
        <v>0</v>
      </c>
      <c r="P12" s="8">
        <f t="shared" si="5"/>
        <v>0</v>
      </c>
      <c r="Q12" s="8">
        <f t="shared" si="5"/>
        <v>0</v>
      </c>
      <c r="R12" s="8">
        <f t="shared" si="5"/>
        <v>0</v>
      </c>
      <c r="S12" s="8">
        <f t="shared" si="5"/>
        <v>0</v>
      </c>
      <c r="T12" s="8">
        <f t="shared" si="5"/>
        <v>0</v>
      </c>
      <c r="U12" s="8">
        <f t="shared" si="3"/>
        <v>0</v>
      </c>
      <c r="V12" s="7" t="str">
        <f t="shared" si="4"/>
        <v>OK</v>
      </c>
    </row>
    <row r="13" spans="2:29" ht="13.15" customHeight="1">
      <c r="B13" s="313" t="s">
        <v>65</v>
      </c>
      <c r="C13" s="306">
        <v>2018</v>
      </c>
      <c r="D13" s="307">
        <v>30000</v>
      </c>
      <c r="E13" s="308">
        <v>0.6</v>
      </c>
      <c r="F13" s="309" t="s">
        <v>59</v>
      </c>
      <c r="G13" s="310"/>
      <c r="H13" s="310"/>
      <c r="I13" s="310"/>
      <c r="J13" s="311"/>
      <c r="K13" s="312">
        <v>10</v>
      </c>
      <c r="L13" s="8">
        <f t="shared" si="2"/>
        <v>9000</v>
      </c>
      <c r="M13" s="8">
        <f>IF(M$6&lt;$C13,0,IF(M$6&gt;($C13+$K13-1),0,SLN($D13*$E13,0,$K13)))</f>
        <v>1800</v>
      </c>
      <c r="N13" s="8">
        <f t="shared" si="5"/>
        <v>1800</v>
      </c>
      <c r="O13" s="8">
        <f t="shared" si="5"/>
        <v>1800</v>
      </c>
      <c r="P13" s="8">
        <f t="shared" si="5"/>
        <v>1800</v>
      </c>
      <c r="Q13" s="8">
        <f t="shared" si="5"/>
        <v>1800</v>
      </c>
      <c r="R13" s="8">
        <f t="shared" si="5"/>
        <v>0</v>
      </c>
      <c r="S13" s="8">
        <f t="shared" si="5"/>
        <v>0</v>
      </c>
      <c r="T13" s="8">
        <f t="shared" si="5"/>
        <v>0</v>
      </c>
      <c r="U13" s="8">
        <f t="shared" si="3"/>
        <v>0</v>
      </c>
      <c r="V13" s="7" t="str">
        <f t="shared" si="4"/>
        <v>OK</v>
      </c>
    </row>
    <row r="14" spans="2:29" ht="13.15" customHeight="1">
      <c r="B14" s="313" t="s">
        <v>65</v>
      </c>
      <c r="C14" s="306">
        <v>2021</v>
      </c>
      <c r="D14" s="307">
        <v>0</v>
      </c>
      <c r="E14" s="308">
        <v>1</v>
      </c>
      <c r="F14" s="309" t="s">
        <v>60</v>
      </c>
      <c r="G14" s="310"/>
      <c r="H14" s="310"/>
      <c r="I14" s="310"/>
      <c r="J14" s="311"/>
      <c r="K14" s="312">
        <v>10</v>
      </c>
      <c r="L14" s="8">
        <f t="shared" si="2"/>
        <v>0</v>
      </c>
      <c r="M14" s="8">
        <f t="shared" si="6"/>
        <v>0</v>
      </c>
      <c r="N14" s="8">
        <f t="shared" si="5"/>
        <v>0</v>
      </c>
      <c r="O14" s="8">
        <f t="shared" si="5"/>
        <v>0</v>
      </c>
      <c r="P14" s="8">
        <f t="shared" si="5"/>
        <v>0</v>
      </c>
      <c r="Q14" s="8">
        <f t="shared" si="5"/>
        <v>0</v>
      </c>
      <c r="R14" s="8">
        <f t="shared" si="5"/>
        <v>0</v>
      </c>
      <c r="S14" s="8">
        <f t="shared" si="5"/>
        <v>0</v>
      </c>
      <c r="T14" s="8">
        <f t="shared" si="5"/>
        <v>0</v>
      </c>
      <c r="U14" s="8">
        <f t="shared" si="3"/>
        <v>0</v>
      </c>
      <c r="V14" s="7" t="str">
        <f t="shared" si="4"/>
        <v>OK</v>
      </c>
    </row>
    <row r="15" spans="2:29">
      <c r="B15" s="314" t="s">
        <v>67</v>
      </c>
      <c r="C15" s="306">
        <v>2010</v>
      </c>
      <c r="D15" s="307">
        <v>15000</v>
      </c>
      <c r="E15" s="308">
        <v>0.3</v>
      </c>
      <c r="F15" s="309" t="s">
        <v>72</v>
      </c>
      <c r="G15" s="310"/>
      <c r="H15" s="310"/>
      <c r="I15" s="310"/>
      <c r="J15" s="311"/>
      <c r="K15" s="312">
        <v>5</v>
      </c>
      <c r="L15" s="8">
        <f t="shared" si="2"/>
        <v>4500</v>
      </c>
      <c r="M15" s="8">
        <f t="shared" si="6"/>
        <v>0</v>
      </c>
      <c r="N15" s="8">
        <f t="shared" si="5"/>
        <v>0</v>
      </c>
      <c r="O15" s="8">
        <f t="shared" si="5"/>
        <v>0</v>
      </c>
      <c r="P15" s="8">
        <f t="shared" si="5"/>
        <v>0</v>
      </c>
      <c r="Q15" s="8">
        <f t="shared" si="5"/>
        <v>0</v>
      </c>
      <c r="R15" s="8">
        <f t="shared" si="5"/>
        <v>0</v>
      </c>
      <c r="S15" s="8">
        <f t="shared" si="5"/>
        <v>0</v>
      </c>
      <c r="T15" s="8">
        <f t="shared" si="5"/>
        <v>0</v>
      </c>
      <c r="U15" s="8">
        <f t="shared" si="3"/>
        <v>0</v>
      </c>
      <c r="V15" s="7" t="str">
        <f t="shared" si="4"/>
        <v>OK</v>
      </c>
    </row>
    <row r="16" spans="2:29">
      <c r="B16" s="314" t="s">
        <v>67</v>
      </c>
      <c r="C16" s="306">
        <v>2019</v>
      </c>
      <c r="D16" s="307">
        <v>11000</v>
      </c>
      <c r="E16" s="308">
        <v>1</v>
      </c>
      <c r="F16" s="309" t="s">
        <v>160</v>
      </c>
      <c r="G16" s="310"/>
      <c r="H16" s="310"/>
      <c r="I16" s="310"/>
      <c r="J16" s="311"/>
      <c r="K16" s="312">
        <v>5</v>
      </c>
      <c r="L16" s="8">
        <f t="shared" si="2"/>
        <v>8800</v>
      </c>
      <c r="M16" s="8">
        <f t="shared" si="6"/>
        <v>2200</v>
      </c>
      <c r="N16" s="8">
        <f t="shared" si="5"/>
        <v>0</v>
      </c>
      <c r="O16" s="8">
        <f t="shared" si="5"/>
        <v>0</v>
      </c>
      <c r="P16" s="8">
        <f t="shared" si="5"/>
        <v>0</v>
      </c>
      <c r="Q16" s="8">
        <f t="shared" si="5"/>
        <v>0</v>
      </c>
      <c r="R16" s="8">
        <f t="shared" si="5"/>
        <v>0</v>
      </c>
      <c r="S16" s="8">
        <f t="shared" si="5"/>
        <v>0</v>
      </c>
      <c r="T16" s="8">
        <f t="shared" si="5"/>
        <v>0</v>
      </c>
      <c r="U16" s="8">
        <f>IF(T16=0,0,(D16*E16)-(SUM(L16:T16)))</f>
        <v>0</v>
      </c>
      <c r="V16" s="7" t="str">
        <f>IF(SUM(L16:U16)=D16*E16,"OK","PROBLEME")</f>
        <v>OK</v>
      </c>
    </row>
    <row r="17" spans="2:25">
      <c r="B17" s="314" t="s">
        <v>67</v>
      </c>
      <c r="C17" s="306">
        <v>2023</v>
      </c>
      <c r="D17" s="307">
        <v>3800</v>
      </c>
      <c r="E17" s="308">
        <v>1</v>
      </c>
      <c r="F17" s="309" t="s">
        <v>161</v>
      </c>
      <c r="G17" s="310"/>
      <c r="H17" s="310"/>
      <c r="I17" s="310"/>
      <c r="J17" s="311"/>
      <c r="K17" s="312">
        <v>5</v>
      </c>
      <c r="L17" s="8">
        <f t="shared" si="2"/>
        <v>0</v>
      </c>
      <c r="M17" s="8">
        <f t="shared" si="6"/>
        <v>760</v>
      </c>
      <c r="N17" s="8">
        <f t="shared" si="5"/>
        <v>760</v>
      </c>
      <c r="O17" s="8">
        <f t="shared" si="5"/>
        <v>760</v>
      </c>
      <c r="P17" s="8">
        <f t="shared" si="5"/>
        <v>760</v>
      </c>
      <c r="Q17" s="8">
        <f t="shared" si="5"/>
        <v>760</v>
      </c>
      <c r="R17" s="8">
        <f t="shared" si="5"/>
        <v>0</v>
      </c>
      <c r="S17" s="8">
        <f t="shared" si="5"/>
        <v>0</v>
      </c>
      <c r="T17" s="8">
        <f t="shared" si="5"/>
        <v>0</v>
      </c>
      <c r="U17" s="8">
        <f t="shared" ref="U17:U41" si="7">IF(T17=0,0,(D17*E17)-(SUM(L17:T17)))</f>
        <v>0</v>
      </c>
      <c r="V17" s="7" t="str">
        <f t="shared" si="4"/>
        <v>OK</v>
      </c>
    </row>
    <row r="18" spans="2:25">
      <c r="B18" s="314" t="s">
        <v>67</v>
      </c>
      <c r="C18" s="306">
        <v>2023</v>
      </c>
      <c r="D18" s="307">
        <v>2100</v>
      </c>
      <c r="E18" s="308">
        <v>1</v>
      </c>
      <c r="F18" s="309" t="s">
        <v>159</v>
      </c>
      <c r="G18" s="310"/>
      <c r="H18" s="310"/>
      <c r="I18" s="310"/>
      <c r="J18" s="311"/>
      <c r="K18" s="312">
        <v>5</v>
      </c>
      <c r="L18" s="8">
        <f t="shared" si="2"/>
        <v>0</v>
      </c>
      <c r="M18" s="8">
        <f t="shared" si="6"/>
        <v>420</v>
      </c>
      <c r="N18" s="8">
        <f t="shared" si="5"/>
        <v>420</v>
      </c>
      <c r="O18" s="8">
        <f t="shared" si="5"/>
        <v>420</v>
      </c>
      <c r="P18" s="8">
        <f t="shared" si="5"/>
        <v>420</v>
      </c>
      <c r="Q18" s="8">
        <f t="shared" si="5"/>
        <v>420</v>
      </c>
      <c r="R18" s="8">
        <f t="shared" si="5"/>
        <v>0</v>
      </c>
      <c r="S18" s="8">
        <f t="shared" si="5"/>
        <v>0</v>
      </c>
      <c r="T18" s="8">
        <f t="shared" si="5"/>
        <v>0</v>
      </c>
      <c r="U18" s="8">
        <f t="shared" si="7"/>
        <v>0</v>
      </c>
      <c r="V18" s="7" t="str">
        <f t="shared" si="4"/>
        <v>OK</v>
      </c>
    </row>
    <row r="19" spans="2:25">
      <c r="B19" s="314" t="s">
        <v>67</v>
      </c>
      <c r="C19" s="306">
        <v>2020</v>
      </c>
      <c r="D19" s="307">
        <v>11300</v>
      </c>
      <c r="E19" s="308">
        <v>1</v>
      </c>
      <c r="F19" s="309" t="s">
        <v>162</v>
      </c>
      <c r="G19" s="310"/>
      <c r="H19" s="310"/>
      <c r="I19" s="310"/>
      <c r="J19" s="311"/>
      <c r="K19" s="312">
        <v>5</v>
      </c>
      <c r="L19" s="8">
        <f t="shared" si="2"/>
        <v>6780</v>
      </c>
      <c r="M19" s="8">
        <f t="shared" si="6"/>
        <v>2260</v>
      </c>
      <c r="N19" s="8">
        <f t="shared" si="5"/>
        <v>2260</v>
      </c>
      <c r="O19" s="8">
        <f t="shared" si="5"/>
        <v>0</v>
      </c>
      <c r="P19" s="8">
        <f t="shared" si="5"/>
        <v>0</v>
      </c>
      <c r="Q19" s="8">
        <f t="shared" si="5"/>
        <v>0</v>
      </c>
      <c r="R19" s="8">
        <f t="shared" si="5"/>
        <v>0</v>
      </c>
      <c r="S19" s="8">
        <f t="shared" si="5"/>
        <v>0</v>
      </c>
      <c r="T19" s="8">
        <f t="shared" si="5"/>
        <v>0</v>
      </c>
      <c r="U19" s="8">
        <f t="shared" si="7"/>
        <v>0</v>
      </c>
      <c r="V19" s="7" t="str">
        <f t="shared" si="4"/>
        <v>OK</v>
      </c>
    </row>
    <row r="20" spans="2:25">
      <c r="B20" s="314" t="s">
        <v>67</v>
      </c>
      <c r="C20" s="306">
        <v>2021</v>
      </c>
      <c r="D20" s="307">
        <v>0</v>
      </c>
      <c r="E20" s="308">
        <v>1</v>
      </c>
      <c r="F20" s="309" t="s">
        <v>163</v>
      </c>
      <c r="G20" s="310"/>
      <c r="H20" s="310"/>
      <c r="I20" s="310"/>
      <c r="J20" s="311"/>
      <c r="K20" s="312">
        <v>5</v>
      </c>
      <c r="L20" s="8">
        <f t="shared" si="2"/>
        <v>0</v>
      </c>
      <c r="M20" s="8">
        <f t="shared" si="6"/>
        <v>0</v>
      </c>
      <c r="N20" s="8">
        <f t="shared" si="5"/>
        <v>0</v>
      </c>
      <c r="O20" s="8">
        <f t="shared" si="5"/>
        <v>0</v>
      </c>
      <c r="P20" s="8">
        <f t="shared" si="5"/>
        <v>0</v>
      </c>
      <c r="Q20" s="8">
        <f t="shared" si="5"/>
        <v>0</v>
      </c>
      <c r="R20" s="8">
        <f t="shared" si="5"/>
        <v>0</v>
      </c>
      <c r="S20" s="8">
        <f t="shared" si="5"/>
        <v>0</v>
      </c>
      <c r="T20" s="8">
        <f t="shared" si="5"/>
        <v>0</v>
      </c>
      <c r="U20" s="8">
        <f t="shared" si="7"/>
        <v>0</v>
      </c>
      <c r="V20" s="7" t="str">
        <f t="shared" si="4"/>
        <v>OK</v>
      </c>
    </row>
    <row r="21" spans="2:25">
      <c r="B21" s="314" t="s">
        <v>67</v>
      </c>
      <c r="C21" s="306">
        <v>2021</v>
      </c>
      <c r="D21" s="307">
        <v>0</v>
      </c>
      <c r="E21" s="308">
        <v>1</v>
      </c>
      <c r="F21" s="309"/>
      <c r="G21" s="310"/>
      <c r="H21" s="310"/>
      <c r="I21" s="310"/>
      <c r="J21" s="311"/>
      <c r="K21" s="312">
        <v>5</v>
      </c>
      <c r="L21" s="8">
        <f t="shared" si="2"/>
        <v>0</v>
      </c>
      <c r="M21" s="8">
        <f t="shared" si="6"/>
        <v>0</v>
      </c>
      <c r="N21" s="8">
        <f t="shared" si="5"/>
        <v>0</v>
      </c>
      <c r="O21" s="8">
        <f t="shared" si="5"/>
        <v>0</v>
      </c>
      <c r="P21" s="8">
        <f t="shared" si="5"/>
        <v>0</v>
      </c>
      <c r="Q21" s="8">
        <f t="shared" si="5"/>
        <v>0</v>
      </c>
      <c r="R21" s="8">
        <f t="shared" si="5"/>
        <v>0</v>
      </c>
      <c r="S21" s="8">
        <f t="shared" si="5"/>
        <v>0</v>
      </c>
      <c r="T21" s="8">
        <f t="shared" si="5"/>
        <v>0</v>
      </c>
      <c r="U21" s="8">
        <f t="shared" si="7"/>
        <v>0</v>
      </c>
      <c r="V21" s="7" t="str">
        <f t="shared" si="4"/>
        <v>OK</v>
      </c>
    </row>
    <row r="22" spans="2:25">
      <c r="B22" s="314" t="s">
        <v>67</v>
      </c>
      <c r="C22" s="306">
        <v>2023</v>
      </c>
      <c r="D22" s="307">
        <v>5500</v>
      </c>
      <c r="E22" s="308">
        <v>1</v>
      </c>
      <c r="F22" s="309" t="s">
        <v>166</v>
      </c>
      <c r="G22" s="310"/>
      <c r="H22" s="310"/>
      <c r="I22" s="310"/>
      <c r="J22" s="311"/>
      <c r="K22" s="312">
        <v>10</v>
      </c>
      <c r="L22" s="8">
        <f t="shared" si="2"/>
        <v>0</v>
      </c>
      <c r="M22" s="8">
        <f t="shared" si="6"/>
        <v>550</v>
      </c>
      <c r="N22" s="8">
        <f t="shared" si="5"/>
        <v>550</v>
      </c>
      <c r="O22" s="8">
        <f t="shared" si="5"/>
        <v>550</v>
      </c>
      <c r="P22" s="8">
        <f t="shared" si="5"/>
        <v>550</v>
      </c>
      <c r="Q22" s="8">
        <f t="shared" si="5"/>
        <v>550</v>
      </c>
      <c r="R22" s="8">
        <f t="shared" si="5"/>
        <v>550</v>
      </c>
      <c r="S22" s="8">
        <f t="shared" si="5"/>
        <v>550</v>
      </c>
      <c r="T22" s="8">
        <f t="shared" si="5"/>
        <v>550</v>
      </c>
      <c r="U22" s="8">
        <f t="shared" si="7"/>
        <v>1100</v>
      </c>
      <c r="V22" s="7" t="str">
        <f t="shared" si="4"/>
        <v>OK</v>
      </c>
    </row>
    <row r="23" spans="2:25">
      <c r="B23" s="314" t="s">
        <v>67</v>
      </c>
      <c r="C23" s="306">
        <v>2023</v>
      </c>
      <c r="D23" s="307">
        <v>15000</v>
      </c>
      <c r="E23" s="308">
        <v>1</v>
      </c>
      <c r="F23" s="309" t="s">
        <v>73</v>
      </c>
      <c r="G23" s="310"/>
      <c r="H23" s="310"/>
      <c r="I23" s="310"/>
      <c r="J23" s="311"/>
      <c r="K23" s="312">
        <v>5</v>
      </c>
      <c r="L23" s="8">
        <f t="shared" si="2"/>
        <v>0</v>
      </c>
      <c r="M23" s="8">
        <f t="shared" si="6"/>
        <v>3000</v>
      </c>
      <c r="N23" s="8">
        <f t="shared" si="6"/>
        <v>3000</v>
      </c>
      <c r="O23" s="8">
        <f t="shared" si="6"/>
        <v>3000</v>
      </c>
      <c r="P23" s="8">
        <f t="shared" si="6"/>
        <v>3000</v>
      </c>
      <c r="Q23" s="8">
        <f t="shared" si="6"/>
        <v>3000</v>
      </c>
      <c r="R23" s="8">
        <f t="shared" si="6"/>
        <v>0</v>
      </c>
      <c r="S23" s="8">
        <f t="shared" si="6"/>
        <v>0</v>
      </c>
      <c r="T23" s="8">
        <f t="shared" si="6"/>
        <v>0</v>
      </c>
      <c r="U23" s="8">
        <f t="shared" si="7"/>
        <v>0</v>
      </c>
      <c r="V23" s="7" t="str">
        <f t="shared" si="4"/>
        <v>OK</v>
      </c>
    </row>
    <row r="24" spans="2:25" s="35" customFormat="1">
      <c r="B24" s="315" t="s">
        <v>68</v>
      </c>
      <c r="C24" s="306">
        <v>2025</v>
      </c>
      <c r="D24" s="307">
        <v>0</v>
      </c>
      <c r="E24" s="308">
        <v>1</v>
      </c>
      <c r="F24" s="309"/>
      <c r="G24" s="310"/>
      <c r="H24" s="310"/>
      <c r="I24" s="310"/>
      <c r="J24" s="311"/>
      <c r="K24" s="312">
        <v>5</v>
      </c>
      <c r="L24" s="8">
        <f t="shared" si="2"/>
        <v>0</v>
      </c>
      <c r="M24" s="8">
        <f t="shared" si="6"/>
        <v>0</v>
      </c>
      <c r="N24" s="8">
        <f t="shared" si="6"/>
        <v>0</v>
      </c>
      <c r="O24" s="8">
        <f t="shared" si="6"/>
        <v>0</v>
      </c>
      <c r="P24" s="8">
        <f t="shared" si="6"/>
        <v>0</v>
      </c>
      <c r="Q24" s="8">
        <f t="shared" si="6"/>
        <v>0</v>
      </c>
      <c r="R24" s="8">
        <f t="shared" si="6"/>
        <v>0</v>
      </c>
      <c r="S24" s="8">
        <f t="shared" si="6"/>
        <v>0</v>
      </c>
      <c r="T24" s="8">
        <f t="shared" si="6"/>
        <v>0</v>
      </c>
      <c r="U24" s="8">
        <f t="shared" si="7"/>
        <v>0</v>
      </c>
      <c r="V24" s="7" t="str">
        <f t="shared" si="4"/>
        <v>OK</v>
      </c>
      <c r="X24" s="34"/>
      <c r="Y24" s="34"/>
    </row>
    <row r="25" spans="2:25" s="35" customFormat="1">
      <c r="B25" s="315" t="s">
        <v>68</v>
      </c>
      <c r="C25" s="306">
        <v>2025</v>
      </c>
      <c r="D25" s="307">
        <v>0</v>
      </c>
      <c r="E25" s="308">
        <v>1</v>
      </c>
      <c r="F25" s="309"/>
      <c r="G25" s="310"/>
      <c r="H25" s="310"/>
      <c r="I25" s="310"/>
      <c r="J25" s="311"/>
      <c r="K25" s="312">
        <v>5</v>
      </c>
      <c r="L25" s="8">
        <f t="shared" si="2"/>
        <v>0</v>
      </c>
      <c r="M25" s="8">
        <f t="shared" si="6"/>
        <v>0</v>
      </c>
      <c r="N25" s="8">
        <f t="shared" si="6"/>
        <v>0</v>
      </c>
      <c r="O25" s="8">
        <f t="shared" si="6"/>
        <v>0</v>
      </c>
      <c r="P25" s="8">
        <f t="shared" si="6"/>
        <v>0</v>
      </c>
      <c r="Q25" s="8">
        <f t="shared" si="6"/>
        <v>0</v>
      </c>
      <c r="R25" s="8">
        <f t="shared" si="6"/>
        <v>0</v>
      </c>
      <c r="S25" s="8">
        <f t="shared" si="6"/>
        <v>0</v>
      </c>
      <c r="T25" s="8">
        <f t="shared" si="6"/>
        <v>0</v>
      </c>
      <c r="U25" s="8">
        <f t="shared" si="7"/>
        <v>0</v>
      </c>
      <c r="V25" s="7" t="str">
        <f t="shared" si="4"/>
        <v>OK</v>
      </c>
      <c r="X25" s="34"/>
      <c r="Y25" s="34"/>
    </row>
    <row r="26" spans="2:25" s="35" customFormat="1">
      <c r="B26" s="315" t="s">
        <v>68</v>
      </c>
      <c r="C26" s="306">
        <v>2025</v>
      </c>
      <c r="D26" s="307">
        <v>0</v>
      </c>
      <c r="E26" s="308">
        <v>1</v>
      </c>
      <c r="F26" s="309"/>
      <c r="G26" s="310"/>
      <c r="H26" s="310"/>
      <c r="I26" s="310"/>
      <c r="J26" s="311"/>
      <c r="K26" s="312">
        <v>5</v>
      </c>
      <c r="L26" s="8">
        <f t="shared" si="2"/>
        <v>0</v>
      </c>
      <c r="M26" s="8">
        <f t="shared" si="6"/>
        <v>0</v>
      </c>
      <c r="N26" s="8">
        <f t="shared" si="6"/>
        <v>0</v>
      </c>
      <c r="O26" s="8">
        <f t="shared" si="6"/>
        <v>0</v>
      </c>
      <c r="P26" s="8">
        <f t="shared" si="6"/>
        <v>0</v>
      </c>
      <c r="Q26" s="8">
        <f t="shared" si="6"/>
        <v>0</v>
      </c>
      <c r="R26" s="8">
        <f t="shared" si="6"/>
        <v>0</v>
      </c>
      <c r="S26" s="8">
        <f t="shared" si="6"/>
        <v>0</v>
      </c>
      <c r="T26" s="8">
        <f t="shared" si="6"/>
        <v>0</v>
      </c>
      <c r="U26" s="8">
        <f t="shared" si="7"/>
        <v>0</v>
      </c>
      <c r="V26" s="7" t="str">
        <f t="shared" si="4"/>
        <v>OK</v>
      </c>
      <c r="X26" s="34"/>
      <c r="Y26" s="34"/>
    </row>
    <row r="27" spans="2:25" s="35" customFormat="1">
      <c r="B27" s="315" t="s">
        <v>68</v>
      </c>
      <c r="C27" s="306">
        <v>2025</v>
      </c>
      <c r="D27" s="307">
        <v>0</v>
      </c>
      <c r="E27" s="308">
        <v>1</v>
      </c>
      <c r="F27" s="309"/>
      <c r="G27" s="310"/>
      <c r="H27" s="310"/>
      <c r="I27" s="310"/>
      <c r="J27" s="311"/>
      <c r="K27" s="312">
        <v>5</v>
      </c>
      <c r="L27" s="8">
        <f t="shared" si="2"/>
        <v>0</v>
      </c>
      <c r="M27" s="8">
        <f t="shared" si="6"/>
        <v>0</v>
      </c>
      <c r="N27" s="8">
        <f t="shared" si="6"/>
        <v>0</v>
      </c>
      <c r="O27" s="8">
        <f t="shared" si="6"/>
        <v>0</v>
      </c>
      <c r="P27" s="8">
        <f t="shared" si="6"/>
        <v>0</v>
      </c>
      <c r="Q27" s="8">
        <f t="shared" si="6"/>
        <v>0</v>
      </c>
      <c r="R27" s="8">
        <f t="shared" si="6"/>
        <v>0</v>
      </c>
      <c r="S27" s="8">
        <f t="shared" si="6"/>
        <v>0</v>
      </c>
      <c r="T27" s="8">
        <f t="shared" si="6"/>
        <v>0</v>
      </c>
      <c r="U27" s="8">
        <f t="shared" si="7"/>
        <v>0</v>
      </c>
      <c r="V27" s="7" t="str">
        <f t="shared" si="4"/>
        <v>OK</v>
      </c>
      <c r="X27" s="34"/>
      <c r="Y27" s="34"/>
    </row>
    <row r="28" spans="2:25" s="35" customFormat="1">
      <c r="B28" s="315" t="s">
        <v>68</v>
      </c>
      <c r="C28" s="306">
        <v>2025</v>
      </c>
      <c r="D28" s="307">
        <v>0</v>
      </c>
      <c r="E28" s="308">
        <v>1</v>
      </c>
      <c r="F28" s="309"/>
      <c r="G28" s="310"/>
      <c r="H28" s="310"/>
      <c r="I28" s="310"/>
      <c r="J28" s="311"/>
      <c r="K28" s="312">
        <v>5</v>
      </c>
      <c r="L28" s="8">
        <f t="shared" si="2"/>
        <v>0</v>
      </c>
      <c r="M28" s="8">
        <f t="shared" si="6"/>
        <v>0</v>
      </c>
      <c r="N28" s="8">
        <f t="shared" si="6"/>
        <v>0</v>
      </c>
      <c r="O28" s="8">
        <f t="shared" si="6"/>
        <v>0</v>
      </c>
      <c r="P28" s="8">
        <f t="shared" si="6"/>
        <v>0</v>
      </c>
      <c r="Q28" s="8">
        <f t="shared" si="6"/>
        <v>0</v>
      </c>
      <c r="R28" s="8">
        <f t="shared" si="6"/>
        <v>0</v>
      </c>
      <c r="S28" s="8">
        <f t="shared" si="6"/>
        <v>0</v>
      </c>
      <c r="T28" s="8">
        <f t="shared" si="6"/>
        <v>0</v>
      </c>
      <c r="U28" s="8">
        <f t="shared" si="7"/>
        <v>0</v>
      </c>
      <c r="V28" s="7" t="str">
        <f t="shared" si="4"/>
        <v>OK</v>
      </c>
      <c r="X28" s="34"/>
      <c r="Y28" s="34"/>
    </row>
    <row r="29" spans="2:25" s="35" customFormat="1">
      <c r="B29" s="315" t="s">
        <v>68</v>
      </c>
      <c r="C29" s="306">
        <v>2025</v>
      </c>
      <c r="D29" s="307">
        <v>0</v>
      </c>
      <c r="E29" s="308">
        <v>1</v>
      </c>
      <c r="F29" s="309"/>
      <c r="G29" s="310"/>
      <c r="H29" s="310"/>
      <c r="I29" s="310"/>
      <c r="J29" s="311"/>
      <c r="K29" s="312">
        <v>5</v>
      </c>
      <c r="L29" s="8">
        <f t="shared" si="2"/>
        <v>0</v>
      </c>
      <c r="M29" s="8">
        <f t="shared" si="6"/>
        <v>0</v>
      </c>
      <c r="N29" s="8">
        <f t="shared" si="6"/>
        <v>0</v>
      </c>
      <c r="O29" s="8">
        <f t="shared" si="6"/>
        <v>0</v>
      </c>
      <c r="P29" s="8">
        <f t="shared" si="6"/>
        <v>0</v>
      </c>
      <c r="Q29" s="8">
        <f t="shared" si="6"/>
        <v>0</v>
      </c>
      <c r="R29" s="8">
        <f t="shared" si="6"/>
        <v>0</v>
      </c>
      <c r="S29" s="8">
        <f t="shared" si="6"/>
        <v>0</v>
      </c>
      <c r="T29" s="8">
        <f t="shared" si="6"/>
        <v>0</v>
      </c>
      <c r="U29" s="8">
        <f t="shared" si="7"/>
        <v>0</v>
      </c>
      <c r="V29" s="7" t="str">
        <f t="shared" si="4"/>
        <v>OK</v>
      </c>
      <c r="X29" s="34"/>
      <c r="Y29" s="34"/>
    </row>
    <row r="30" spans="2:25" s="35" customFormat="1">
      <c r="B30" s="315" t="s">
        <v>68</v>
      </c>
      <c r="C30" s="306">
        <v>2025</v>
      </c>
      <c r="D30" s="307">
        <v>0</v>
      </c>
      <c r="E30" s="308">
        <v>1</v>
      </c>
      <c r="F30" s="309"/>
      <c r="G30" s="310"/>
      <c r="H30" s="310"/>
      <c r="I30" s="310"/>
      <c r="J30" s="311"/>
      <c r="K30" s="312">
        <v>5</v>
      </c>
      <c r="L30" s="8">
        <f t="shared" si="2"/>
        <v>0</v>
      </c>
      <c r="M30" s="8">
        <f t="shared" si="6"/>
        <v>0</v>
      </c>
      <c r="N30" s="8">
        <f t="shared" si="6"/>
        <v>0</v>
      </c>
      <c r="O30" s="8">
        <f t="shared" si="6"/>
        <v>0</v>
      </c>
      <c r="P30" s="8">
        <f t="shared" si="6"/>
        <v>0</v>
      </c>
      <c r="Q30" s="8">
        <f t="shared" si="6"/>
        <v>0</v>
      </c>
      <c r="R30" s="8">
        <f t="shared" si="6"/>
        <v>0</v>
      </c>
      <c r="S30" s="8">
        <f t="shared" si="6"/>
        <v>0</v>
      </c>
      <c r="T30" s="8">
        <f t="shared" si="6"/>
        <v>0</v>
      </c>
      <c r="U30" s="8">
        <f t="shared" si="7"/>
        <v>0</v>
      </c>
      <c r="V30" s="7" t="str">
        <f t="shared" si="4"/>
        <v>OK</v>
      </c>
      <c r="X30" s="34"/>
      <c r="Y30" s="34"/>
    </row>
    <row r="31" spans="2:25" s="35" customFormat="1">
      <c r="B31" s="315" t="s">
        <v>68</v>
      </c>
      <c r="C31" s="306">
        <v>2025</v>
      </c>
      <c r="D31" s="307">
        <v>0</v>
      </c>
      <c r="E31" s="308">
        <v>1</v>
      </c>
      <c r="F31" s="309"/>
      <c r="G31" s="310"/>
      <c r="H31" s="310"/>
      <c r="I31" s="310"/>
      <c r="J31" s="311"/>
      <c r="K31" s="312">
        <v>5</v>
      </c>
      <c r="L31" s="8">
        <f t="shared" si="2"/>
        <v>0</v>
      </c>
      <c r="M31" s="8">
        <f t="shared" si="6"/>
        <v>0</v>
      </c>
      <c r="N31" s="8">
        <f t="shared" si="6"/>
        <v>0</v>
      </c>
      <c r="O31" s="8">
        <f t="shared" si="6"/>
        <v>0</v>
      </c>
      <c r="P31" s="8">
        <f t="shared" si="6"/>
        <v>0</v>
      </c>
      <c r="Q31" s="8">
        <f t="shared" si="6"/>
        <v>0</v>
      </c>
      <c r="R31" s="8">
        <f t="shared" si="6"/>
        <v>0</v>
      </c>
      <c r="S31" s="8">
        <f t="shared" si="6"/>
        <v>0</v>
      </c>
      <c r="T31" s="8">
        <f t="shared" si="6"/>
        <v>0</v>
      </c>
      <c r="U31" s="8">
        <f t="shared" si="7"/>
        <v>0</v>
      </c>
      <c r="V31" s="7" t="str">
        <f t="shared" si="4"/>
        <v>OK</v>
      </c>
      <c r="X31" s="34"/>
      <c r="Y31" s="34"/>
    </row>
    <row r="32" spans="2:25" s="35" customFormat="1">
      <c r="B32" s="316" t="s">
        <v>69</v>
      </c>
      <c r="C32" s="306">
        <v>2025</v>
      </c>
      <c r="D32" s="307">
        <v>0</v>
      </c>
      <c r="E32" s="308">
        <v>1</v>
      </c>
      <c r="F32" s="309"/>
      <c r="G32" s="310"/>
      <c r="H32" s="310"/>
      <c r="I32" s="310"/>
      <c r="J32" s="311"/>
      <c r="K32" s="312">
        <v>3</v>
      </c>
      <c r="L32" s="8">
        <f t="shared" si="2"/>
        <v>0</v>
      </c>
      <c r="M32" s="8">
        <f t="shared" si="6"/>
        <v>0</v>
      </c>
      <c r="N32" s="8">
        <f t="shared" si="6"/>
        <v>0</v>
      </c>
      <c r="O32" s="8">
        <f t="shared" si="6"/>
        <v>0</v>
      </c>
      <c r="P32" s="8">
        <f t="shared" si="6"/>
        <v>0</v>
      </c>
      <c r="Q32" s="8">
        <f t="shared" si="6"/>
        <v>0</v>
      </c>
      <c r="R32" s="8">
        <f t="shared" si="6"/>
        <v>0</v>
      </c>
      <c r="S32" s="8">
        <f t="shared" si="6"/>
        <v>0</v>
      </c>
      <c r="T32" s="8">
        <f t="shared" si="6"/>
        <v>0</v>
      </c>
      <c r="U32" s="8">
        <f t="shared" si="7"/>
        <v>0</v>
      </c>
      <c r="V32" s="7" t="str">
        <f t="shared" si="4"/>
        <v>OK</v>
      </c>
      <c r="X32" s="34"/>
      <c r="Y32" s="34"/>
    </row>
    <row r="33" spans="2:25" s="35" customFormat="1">
      <c r="B33" s="316" t="s">
        <v>69</v>
      </c>
      <c r="C33" s="306">
        <v>2025</v>
      </c>
      <c r="D33" s="307">
        <v>0</v>
      </c>
      <c r="E33" s="308">
        <v>1</v>
      </c>
      <c r="F33" s="309"/>
      <c r="G33" s="310"/>
      <c r="H33" s="310"/>
      <c r="I33" s="310"/>
      <c r="J33" s="311"/>
      <c r="K33" s="312">
        <v>3</v>
      </c>
      <c r="L33" s="8">
        <f t="shared" si="2"/>
        <v>0</v>
      </c>
      <c r="M33" s="8">
        <f t="shared" si="6"/>
        <v>0</v>
      </c>
      <c r="N33" s="8">
        <f t="shared" si="6"/>
        <v>0</v>
      </c>
      <c r="O33" s="8">
        <f t="shared" si="6"/>
        <v>0</v>
      </c>
      <c r="P33" s="8">
        <f t="shared" si="6"/>
        <v>0</v>
      </c>
      <c r="Q33" s="8">
        <f t="shared" si="6"/>
        <v>0</v>
      </c>
      <c r="R33" s="8">
        <f t="shared" si="6"/>
        <v>0</v>
      </c>
      <c r="S33" s="8">
        <f t="shared" si="6"/>
        <v>0</v>
      </c>
      <c r="T33" s="8">
        <f t="shared" si="6"/>
        <v>0</v>
      </c>
      <c r="U33" s="8">
        <f t="shared" si="7"/>
        <v>0</v>
      </c>
      <c r="V33" s="7" t="str">
        <f t="shared" si="4"/>
        <v>OK</v>
      </c>
      <c r="X33" s="34"/>
      <c r="Y33" s="34"/>
    </row>
    <row r="34" spans="2:25" s="35" customFormat="1">
      <c r="B34" s="316" t="s">
        <v>69</v>
      </c>
      <c r="C34" s="306">
        <v>2025</v>
      </c>
      <c r="D34" s="307">
        <v>0</v>
      </c>
      <c r="E34" s="308">
        <v>1</v>
      </c>
      <c r="F34" s="309"/>
      <c r="G34" s="310"/>
      <c r="H34" s="310"/>
      <c r="I34" s="310"/>
      <c r="J34" s="311"/>
      <c r="K34" s="312">
        <v>3</v>
      </c>
      <c r="L34" s="8">
        <f t="shared" si="2"/>
        <v>0</v>
      </c>
      <c r="M34" s="8">
        <f t="shared" si="6"/>
        <v>0</v>
      </c>
      <c r="N34" s="8">
        <f t="shared" si="6"/>
        <v>0</v>
      </c>
      <c r="O34" s="8">
        <f t="shared" si="6"/>
        <v>0</v>
      </c>
      <c r="P34" s="8">
        <f t="shared" si="6"/>
        <v>0</v>
      </c>
      <c r="Q34" s="8">
        <f t="shared" si="6"/>
        <v>0</v>
      </c>
      <c r="R34" s="8">
        <f t="shared" si="6"/>
        <v>0</v>
      </c>
      <c r="S34" s="8">
        <f t="shared" si="6"/>
        <v>0</v>
      </c>
      <c r="T34" s="8">
        <f t="shared" si="6"/>
        <v>0</v>
      </c>
      <c r="U34" s="8">
        <f t="shared" si="7"/>
        <v>0</v>
      </c>
      <c r="V34" s="7" t="str">
        <f t="shared" si="4"/>
        <v>OK</v>
      </c>
      <c r="X34" s="34"/>
      <c r="Y34" s="34"/>
    </row>
    <row r="35" spans="2:25" s="35" customFormat="1">
      <c r="B35" s="316" t="s">
        <v>69</v>
      </c>
      <c r="C35" s="306">
        <v>2025</v>
      </c>
      <c r="D35" s="307">
        <v>0</v>
      </c>
      <c r="E35" s="308">
        <v>1</v>
      </c>
      <c r="F35" s="309" t="s">
        <v>280</v>
      </c>
      <c r="G35" s="310"/>
      <c r="H35" s="310"/>
      <c r="I35" s="310"/>
      <c r="J35" s="311"/>
      <c r="K35" s="312">
        <v>3</v>
      </c>
      <c r="L35" s="8">
        <f t="shared" si="2"/>
        <v>0</v>
      </c>
      <c r="M35" s="8">
        <f t="shared" si="6"/>
        <v>0</v>
      </c>
      <c r="N35" s="8">
        <f t="shared" si="6"/>
        <v>0</v>
      </c>
      <c r="O35" s="8">
        <f t="shared" si="6"/>
        <v>0</v>
      </c>
      <c r="P35" s="8">
        <f t="shared" si="6"/>
        <v>0</v>
      </c>
      <c r="Q35" s="8">
        <f t="shared" si="6"/>
        <v>0</v>
      </c>
      <c r="R35" s="8">
        <f t="shared" si="6"/>
        <v>0</v>
      </c>
      <c r="S35" s="8">
        <f t="shared" si="6"/>
        <v>0</v>
      </c>
      <c r="T35" s="8">
        <f t="shared" si="6"/>
        <v>0</v>
      </c>
      <c r="U35" s="8">
        <f t="shared" si="7"/>
        <v>0</v>
      </c>
      <c r="V35" s="7" t="str">
        <f t="shared" si="4"/>
        <v>OK</v>
      </c>
      <c r="X35" s="34"/>
      <c r="Y35" s="34"/>
    </row>
    <row r="36" spans="2:25" s="35" customFormat="1">
      <c r="B36" s="316" t="s">
        <v>69</v>
      </c>
      <c r="C36" s="306">
        <v>2025</v>
      </c>
      <c r="D36" s="307">
        <v>0</v>
      </c>
      <c r="E36" s="308">
        <v>1</v>
      </c>
      <c r="F36" s="309"/>
      <c r="G36" s="310"/>
      <c r="H36" s="310"/>
      <c r="I36" s="310"/>
      <c r="J36" s="311"/>
      <c r="K36" s="312">
        <v>3</v>
      </c>
      <c r="L36" s="8">
        <f t="shared" si="2"/>
        <v>0</v>
      </c>
      <c r="M36" s="8">
        <f t="shared" si="6"/>
        <v>0</v>
      </c>
      <c r="N36" s="8">
        <f t="shared" si="6"/>
        <v>0</v>
      </c>
      <c r="O36" s="8">
        <f t="shared" si="6"/>
        <v>0</v>
      </c>
      <c r="P36" s="8">
        <f t="shared" si="6"/>
        <v>0</v>
      </c>
      <c r="Q36" s="8">
        <f t="shared" si="6"/>
        <v>0</v>
      </c>
      <c r="R36" s="8">
        <f t="shared" si="6"/>
        <v>0</v>
      </c>
      <c r="S36" s="8">
        <f t="shared" si="6"/>
        <v>0</v>
      </c>
      <c r="T36" s="8">
        <f t="shared" si="6"/>
        <v>0</v>
      </c>
      <c r="U36" s="8">
        <f t="shared" si="7"/>
        <v>0</v>
      </c>
      <c r="V36" s="7" t="str">
        <f t="shared" si="4"/>
        <v>OK</v>
      </c>
      <c r="X36" s="34"/>
      <c r="Y36" s="34"/>
    </row>
    <row r="37" spans="2:25" s="35" customFormat="1">
      <c r="B37" s="316" t="s">
        <v>69</v>
      </c>
      <c r="C37" s="306">
        <v>2025</v>
      </c>
      <c r="D37" s="307">
        <v>0</v>
      </c>
      <c r="E37" s="308">
        <v>1</v>
      </c>
      <c r="F37" s="309"/>
      <c r="G37" s="310"/>
      <c r="H37" s="310"/>
      <c r="I37" s="310"/>
      <c r="J37" s="311"/>
      <c r="K37" s="312">
        <v>3</v>
      </c>
      <c r="L37" s="8">
        <f t="shared" si="2"/>
        <v>0</v>
      </c>
      <c r="M37" s="8">
        <f t="shared" si="6"/>
        <v>0</v>
      </c>
      <c r="N37" s="8">
        <f t="shared" si="6"/>
        <v>0</v>
      </c>
      <c r="O37" s="8">
        <f t="shared" si="6"/>
        <v>0</v>
      </c>
      <c r="P37" s="8">
        <f t="shared" si="6"/>
        <v>0</v>
      </c>
      <c r="Q37" s="8">
        <f t="shared" si="6"/>
        <v>0</v>
      </c>
      <c r="R37" s="8">
        <f t="shared" si="6"/>
        <v>0</v>
      </c>
      <c r="S37" s="8">
        <f t="shared" si="6"/>
        <v>0</v>
      </c>
      <c r="T37" s="8">
        <f t="shared" si="6"/>
        <v>0</v>
      </c>
      <c r="U37" s="8">
        <f t="shared" si="7"/>
        <v>0</v>
      </c>
      <c r="V37" s="7" t="str">
        <f t="shared" si="4"/>
        <v>OK</v>
      </c>
      <c r="X37" s="34"/>
      <c r="Y37" s="34"/>
    </row>
    <row r="38" spans="2:25" s="35" customFormat="1">
      <c r="B38" s="316" t="s">
        <v>69</v>
      </c>
      <c r="C38" s="306">
        <v>2025</v>
      </c>
      <c r="D38" s="307">
        <v>0</v>
      </c>
      <c r="E38" s="308">
        <v>1</v>
      </c>
      <c r="F38" s="309"/>
      <c r="G38" s="310"/>
      <c r="H38" s="310"/>
      <c r="I38" s="310"/>
      <c r="J38" s="311"/>
      <c r="K38" s="312">
        <v>3</v>
      </c>
      <c r="L38" s="8">
        <f t="shared" si="2"/>
        <v>0</v>
      </c>
      <c r="M38" s="8">
        <f t="shared" si="6"/>
        <v>0</v>
      </c>
      <c r="N38" s="8">
        <f t="shared" si="6"/>
        <v>0</v>
      </c>
      <c r="O38" s="8">
        <f t="shared" si="6"/>
        <v>0</v>
      </c>
      <c r="P38" s="8">
        <f t="shared" si="6"/>
        <v>0</v>
      </c>
      <c r="Q38" s="8">
        <f t="shared" si="6"/>
        <v>0</v>
      </c>
      <c r="R38" s="8">
        <f t="shared" si="6"/>
        <v>0</v>
      </c>
      <c r="S38" s="8">
        <f t="shared" si="6"/>
        <v>0</v>
      </c>
      <c r="T38" s="8">
        <f t="shared" si="6"/>
        <v>0</v>
      </c>
      <c r="U38" s="8">
        <f t="shared" si="7"/>
        <v>0</v>
      </c>
      <c r="V38" s="7" t="str">
        <f t="shared" si="4"/>
        <v>OK</v>
      </c>
      <c r="X38" s="34"/>
      <c r="Y38" s="34"/>
    </row>
    <row r="39" spans="2:25" s="35" customFormat="1">
      <c r="B39" s="316" t="s">
        <v>69</v>
      </c>
      <c r="C39" s="306">
        <v>2025</v>
      </c>
      <c r="D39" s="307">
        <v>0</v>
      </c>
      <c r="E39" s="308">
        <v>1</v>
      </c>
      <c r="F39" s="309"/>
      <c r="G39" s="310"/>
      <c r="H39" s="310"/>
      <c r="I39" s="310"/>
      <c r="J39" s="311"/>
      <c r="K39" s="312">
        <v>3</v>
      </c>
      <c r="L39" s="8">
        <f t="shared" si="2"/>
        <v>0</v>
      </c>
      <c r="M39" s="8">
        <f t="shared" si="6"/>
        <v>0</v>
      </c>
      <c r="N39" s="8">
        <f t="shared" si="6"/>
        <v>0</v>
      </c>
      <c r="O39" s="8">
        <f t="shared" si="6"/>
        <v>0</v>
      </c>
      <c r="P39" s="8">
        <f t="shared" si="6"/>
        <v>0</v>
      </c>
      <c r="Q39" s="8">
        <f t="shared" si="6"/>
        <v>0</v>
      </c>
      <c r="R39" s="8">
        <f t="shared" si="6"/>
        <v>0</v>
      </c>
      <c r="S39" s="8">
        <f t="shared" si="6"/>
        <v>0</v>
      </c>
      <c r="T39" s="8">
        <f t="shared" si="6"/>
        <v>0</v>
      </c>
      <c r="U39" s="8">
        <f t="shared" si="7"/>
        <v>0</v>
      </c>
      <c r="V39" s="7" t="str">
        <f t="shared" si="4"/>
        <v>OK</v>
      </c>
      <c r="X39" s="34"/>
      <c r="Y39" s="34"/>
    </row>
    <row r="40" spans="2:25" s="35" customFormat="1">
      <c r="B40" s="315" t="s">
        <v>70</v>
      </c>
      <c r="C40" s="306">
        <v>2024</v>
      </c>
      <c r="D40" s="307">
        <v>15000</v>
      </c>
      <c r="E40" s="308">
        <v>1</v>
      </c>
      <c r="F40" s="309" t="s">
        <v>74</v>
      </c>
      <c r="G40" s="310"/>
      <c r="H40" s="310"/>
      <c r="I40" s="310"/>
      <c r="J40" s="311"/>
      <c r="K40" s="312">
        <v>5</v>
      </c>
      <c r="L40" s="8">
        <f t="shared" si="2"/>
        <v>0</v>
      </c>
      <c r="M40" s="8">
        <f t="shared" si="6"/>
        <v>0</v>
      </c>
      <c r="N40" s="8">
        <f t="shared" si="6"/>
        <v>3000</v>
      </c>
      <c r="O40" s="8">
        <f t="shared" si="6"/>
        <v>3000</v>
      </c>
      <c r="P40" s="8">
        <f t="shared" si="6"/>
        <v>3000</v>
      </c>
      <c r="Q40" s="8">
        <f t="shared" si="6"/>
        <v>3000</v>
      </c>
      <c r="R40" s="8">
        <f t="shared" si="6"/>
        <v>3000</v>
      </c>
      <c r="S40" s="8">
        <f t="shared" si="6"/>
        <v>0</v>
      </c>
      <c r="T40" s="8">
        <f t="shared" si="6"/>
        <v>0</v>
      </c>
      <c r="U40" s="8">
        <f t="shared" si="7"/>
        <v>0</v>
      </c>
      <c r="V40" s="7" t="str">
        <f t="shared" si="4"/>
        <v>OK</v>
      </c>
      <c r="X40" s="34"/>
      <c r="Y40" s="34"/>
    </row>
    <row r="41" spans="2:25" s="35" customFormat="1" ht="13.8" thickBot="1">
      <c r="B41" s="317" t="s">
        <v>70</v>
      </c>
      <c r="C41" s="318">
        <v>2025</v>
      </c>
      <c r="D41" s="319">
        <v>0</v>
      </c>
      <c r="E41" s="320">
        <v>1</v>
      </c>
      <c r="F41" s="321" t="s">
        <v>61</v>
      </c>
      <c r="G41" s="322"/>
      <c r="H41" s="322"/>
      <c r="I41" s="322"/>
      <c r="J41" s="323"/>
      <c r="K41" s="324">
        <v>3</v>
      </c>
      <c r="L41" s="8">
        <f t="shared" si="2"/>
        <v>0</v>
      </c>
      <c r="M41" s="9">
        <f t="shared" si="6"/>
        <v>0</v>
      </c>
      <c r="N41" s="9">
        <f t="shared" si="6"/>
        <v>0</v>
      </c>
      <c r="O41" s="9">
        <f t="shared" si="6"/>
        <v>0</v>
      </c>
      <c r="P41" s="9">
        <f t="shared" si="6"/>
        <v>0</v>
      </c>
      <c r="Q41" s="9">
        <f t="shared" si="6"/>
        <v>0</v>
      </c>
      <c r="R41" s="9">
        <f t="shared" si="6"/>
        <v>0</v>
      </c>
      <c r="S41" s="9">
        <f t="shared" si="6"/>
        <v>0</v>
      </c>
      <c r="T41" s="9">
        <f t="shared" si="6"/>
        <v>0</v>
      </c>
      <c r="U41" s="9">
        <f t="shared" si="7"/>
        <v>0</v>
      </c>
      <c r="V41" s="7" t="str">
        <f t="shared" si="4"/>
        <v>OK</v>
      </c>
      <c r="X41" s="34"/>
      <c r="Y41" s="34"/>
    </row>
    <row r="42" spans="2:25" s="36" customFormat="1" ht="13.8" thickBot="1">
      <c r="B42" s="43" t="s">
        <v>279</v>
      </c>
      <c r="C42" s="44"/>
      <c r="D42" s="45"/>
      <c r="E42" s="46">
        <f>SUMPRODUCT(D7:D41,E7:E41)</f>
        <v>90700</v>
      </c>
      <c r="F42" s="44"/>
      <c r="G42" s="44"/>
      <c r="H42" s="44"/>
      <c r="I42" s="44"/>
      <c r="J42" s="44"/>
      <c r="K42" s="44"/>
      <c r="L42" s="47">
        <f t="shared" ref="L42:U42" si="8">SUM(L7:L41)</f>
        <v>30580</v>
      </c>
      <c r="M42" s="47">
        <f t="shared" si="8"/>
        <v>11590</v>
      </c>
      <c r="N42" s="47">
        <f t="shared" si="8"/>
        <v>12390</v>
      </c>
      <c r="O42" s="47">
        <f t="shared" si="8"/>
        <v>10130</v>
      </c>
      <c r="P42" s="47">
        <f t="shared" si="8"/>
        <v>10130</v>
      </c>
      <c r="Q42" s="47">
        <f t="shared" si="8"/>
        <v>10130</v>
      </c>
      <c r="R42" s="47">
        <f t="shared" si="8"/>
        <v>3550</v>
      </c>
      <c r="S42" s="47">
        <f t="shared" si="8"/>
        <v>550</v>
      </c>
      <c r="T42" s="48">
        <f t="shared" si="8"/>
        <v>550</v>
      </c>
      <c r="U42" s="48">
        <f t="shared" si="8"/>
        <v>1100</v>
      </c>
      <c r="V42" s="7" t="str">
        <f>IF(SUM(L42:U42)=E42,"OK","PROBLEME")</f>
        <v>OK</v>
      </c>
      <c r="W42" s="35"/>
      <c r="X42" s="34"/>
      <c r="Y42" s="34"/>
    </row>
    <row r="43" spans="2:25" ht="13.8" thickBot="1">
      <c r="B43" s="49" t="s">
        <v>81</v>
      </c>
      <c r="C43" s="44"/>
      <c r="D43" s="50"/>
      <c r="E43" s="51">
        <f>E42-SUM(L42:O42)</f>
        <v>26010</v>
      </c>
      <c r="F43" s="52"/>
      <c r="G43" s="52"/>
      <c r="H43" s="52"/>
      <c r="I43" s="52"/>
      <c r="J43" s="52"/>
      <c r="K43" s="53"/>
      <c r="L43" s="54"/>
      <c r="M43" s="55"/>
      <c r="N43" s="54"/>
      <c r="O43" s="54"/>
      <c r="P43" s="54"/>
      <c r="Q43" s="54"/>
      <c r="R43" s="54"/>
      <c r="S43" s="54"/>
      <c r="T43" s="54"/>
      <c r="U43" s="54"/>
      <c r="V43" s="299"/>
    </row>
    <row r="44" spans="2:25">
      <c r="B44" s="325"/>
      <c r="C44" s="299"/>
      <c r="D44" s="326"/>
      <c r="E44" s="326"/>
      <c r="F44" s="299"/>
      <c r="G44" s="299"/>
      <c r="H44" s="299"/>
      <c r="I44" s="299"/>
      <c r="J44" s="299"/>
      <c r="K44" s="299"/>
      <c r="L44" s="299"/>
      <c r="M44" s="304"/>
      <c r="N44" s="299"/>
      <c r="O44" s="299"/>
      <c r="P44" s="299"/>
      <c r="Q44" s="299"/>
      <c r="R44" s="299"/>
      <c r="S44" s="299"/>
      <c r="T44" s="299"/>
      <c r="U44" s="299"/>
      <c r="V44" s="299"/>
    </row>
    <row r="45" spans="2:25">
      <c r="B45" s="325"/>
      <c r="C45" s="299"/>
      <c r="D45" s="326"/>
      <c r="E45" s="326"/>
      <c r="F45" s="299"/>
      <c r="G45" s="299"/>
      <c r="H45" s="299"/>
      <c r="I45" s="299"/>
      <c r="J45" s="299"/>
      <c r="K45" s="299"/>
      <c r="L45" s="299"/>
      <c r="M45" s="304"/>
      <c r="N45" s="299"/>
      <c r="O45" s="299"/>
      <c r="P45" s="299"/>
      <c r="Q45" s="299"/>
      <c r="R45" s="299"/>
      <c r="S45" s="299"/>
      <c r="T45" s="299"/>
      <c r="U45" s="299"/>
      <c r="V45" s="299"/>
    </row>
    <row r="46" spans="2:25">
      <c r="B46" s="325"/>
      <c r="C46" s="299"/>
      <c r="D46" s="326"/>
      <c r="E46" s="326"/>
      <c r="F46" s="299"/>
      <c r="G46" s="299"/>
      <c r="H46" s="299"/>
      <c r="I46" s="299"/>
      <c r="J46" s="299"/>
      <c r="K46" s="299"/>
      <c r="L46" s="299"/>
      <c r="M46" s="304"/>
      <c r="N46" s="299"/>
      <c r="O46" s="299"/>
      <c r="P46" s="299"/>
      <c r="Q46" s="299"/>
      <c r="R46" s="299"/>
      <c r="S46" s="299"/>
      <c r="T46" s="299"/>
      <c r="U46" s="299"/>
      <c r="V46" s="299"/>
    </row>
    <row r="47" spans="2:25" ht="13.8" thickBot="1">
      <c r="B47" s="325"/>
      <c r="C47" s="299"/>
      <c r="D47" s="326"/>
      <c r="E47" s="326"/>
      <c r="F47" s="299"/>
      <c r="G47" s="299"/>
      <c r="H47" s="299"/>
      <c r="I47" s="299"/>
      <c r="J47" s="299"/>
      <c r="K47" s="299"/>
      <c r="L47" s="299"/>
      <c r="M47" s="304"/>
      <c r="N47" s="299"/>
      <c r="O47" s="299"/>
      <c r="P47" s="299"/>
      <c r="Q47" s="299"/>
      <c r="R47" s="299"/>
      <c r="S47" s="299"/>
      <c r="T47" s="299"/>
      <c r="U47" s="299"/>
      <c r="V47" s="299"/>
    </row>
    <row r="48" spans="2:25" ht="25.7" thickBot="1">
      <c r="B48" s="327" t="s">
        <v>87</v>
      </c>
      <c r="C48" s="328" t="s">
        <v>88</v>
      </c>
      <c r="D48" s="326"/>
      <c r="E48" s="326"/>
      <c r="F48" s="299"/>
      <c r="G48" s="299"/>
      <c r="H48" s="299"/>
      <c r="I48" s="299"/>
      <c r="J48" s="299"/>
      <c r="K48" s="299"/>
      <c r="L48" s="299"/>
      <c r="M48" s="304"/>
      <c r="N48" s="299"/>
      <c r="O48" s="299"/>
      <c r="P48" s="299"/>
      <c r="Q48" s="299"/>
      <c r="R48" s="299"/>
      <c r="S48" s="299"/>
      <c r="T48" s="299"/>
      <c r="U48" s="299"/>
      <c r="V48" s="299"/>
    </row>
    <row r="49" spans="2:22">
      <c r="B49" s="329" t="s">
        <v>89</v>
      </c>
      <c r="C49" s="330">
        <v>5</v>
      </c>
      <c r="D49" s="326"/>
      <c r="E49" s="326"/>
      <c r="F49" s="299"/>
      <c r="G49" s="299"/>
      <c r="H49" s="299"/>
      <c r="I49" s="299"/>
      <c r="J49" s="299"/>
      <c r="K49" s="299"/>
      <c r="L49" s="299"/>
      <c r="M49" s="304"/>
      <c r="N49" s="299"/>
      <c r="O49" s="299"/>
      <c r="P49" s="299"/>
      <c r="Q49" s="299"/>
      <c r="R49" s="299"/>
      <c r="S49" s="299"/>
      <c r="T49" s="299"/>
      <c r="U49" s="299"/>
      <c r="V49" s="299"/>
    </row>
    <row r="50" spans="2:22">
      <c r="B50" s="331" t="s">
        <v>90</v>
      </c>
      <c r="C50" s="332">
        <v>30</v>
      </c>
      <c r="D50" s="326"/>
      <c r="E50" s="326"/>
      <c r="F50" s="299"/>
      <c r="G50" s="299"/>
      <c r="H50" s="299"/>
      <c r="I50" s="299"/>
      <c r="J50" s="299"/>
      <c r="K50" s="299"/>
      <c r="L50" s="299"/>
      <c r="M50" s="304"/>
      <c r="N50" s="299"/>
      <c r="O50" s="299"/>
      <c r="P50" s="299"/>
      <c r="Q50" s="299"/>
      <c r="R50" s="299"/>
      <c r="S50" s="299"/>
      <c r="T50" s="299"/>
      <c r="U50" s="299"/>
      <c r="V50" s="299"/>
    </row>
    <row r="51" spans="2:22">
      <c r="B51" s="331" t="s">
        <v>91</v>
      </c>
      <c r="C51" s="332">
        <v>5</v>
      </c>
      <c r="D51" s="326"/>
      <c r="E51" s="326"/>
      <c r="F51" s="299"/>
      <c r="G51" s="299"/>
      <c r="H51" s="299"/>
      <c r="I51" s="299"/>
      <c r="J51" s="299"/>
      <c r="K51" s="299"/>
      <c r="L51" s="299"/>
      <c r="M51" s="304"/>
      <c r="N51" s="299"/>
      <c r="O51" s="299"/>
      <c r="P51" s="299"/>
      <c r="Q51" s="299"/>
      <c r="R51" s="299"/>
      <c r="S51" s="299"/>
      <c r="T51" s="299"/>
      <c r="U51" s="299"/>
      <c r="V51" s="299"/>
    </row>
    <row r="52" spans="2:22">
      <c r="B52" s="331" t="s">
        <v>92</v>
      </c>
      <c r="C52" s="332">
        <v>5</v>
      </c>
      <c r="D52" s="326"/>
      <c r="E52" s="326"/>
      <c r="F52" s="299"/>
      <c r="G52" s="299"/>
      <c r="H52" s="299"/>
      <c r="I52" s="299"/>
      <c r="J52" s="299"/>
      <c r="K52" s="299"/>
      <c r="L52" s="299"/>
      <c r="M52" s="304"/>
      <c r="N52" s="299"/>
      <c r="O52" s="299"/>
      <c r="P52" s="299"/>
      <c r="Q52" s="299"/>
      <c r="R52" s="299"/>
      <c r="S52" s="299"/>
      <c r="T52" s="299"/>
      <c r="U52" s="299"/>
      <c r="V52" s="299"/>
    </row>
    <row r="53" spans="2:22">
      <c r="B53" s="331" t="s">
        <v>93</v>
      </c>
      <c r="C53" s="332">
        <v>3</v>
      </c>
      <c r="D53" s="326"/>
      <c r="E53" s="326"/>
      <c r="F53" s="299"/>
      <c r="G53" s="299"/>
      <c r="H53" s="299"/>
      <c r="I53" s="299"/>
      <c r="J53" s="299"/>
      <c r="K53" s="299"/>
      <c r="L53" s="299"/>
      <c r="M53" s="304"/>
      <c r="N53" s="299"/>
      <c r="O53" s="299"/>
      <c r="P53" s="299"/>
      <c r="Q53" s="299"/>
      <c r="R53" s="299"/>
      <c r="S53" s="299"/>
      <c r="T53" s="299"/>
      <c r="U53" s="299"/>
      <c r="V53" s="299"/>
    </row>
    <row r="54" spans="2:22">
      <c r="B54" s="331" t="s">
        <v>94</v>
      </c>
      <c r="C54" s="332">
        <v>3</v>
      </c>
      <c r="D54" s="326"/>
      <c r="E54" s="326"/>
      <c r="F54" s="299"/>
      <c r="G54" s="299"/>
      <c r="H54" s="299"/>
      <c r="I54" s="299"/>
      <c r="J54" s="299"/>
      <c r="K54" s="299"/>
      <c r="L54" s="299"/>
      <c r="M54" s="304"/>
      <c r="N54" s="299"/>
      <c r="O54" s="299"/>
      <c r="P54" s="299"/>
      <c r="Q54" s="299"/>
      <c r="R54" s="299"/>
      <c r="S54" s="299"/>
      <c r="T54" s="299"/>
      <c r="U54" s="299"/>
      <c r="V54" s="299"/>
    </row>
    <row r="55" spans="2:22" ht="13.8" thickBot="1">
      <c r="B55" s="333" t="s">
        <v>95</v>
      </c>
      <c r="C55" s="334">
        <v>5</v>
      </c>
      <c r="D55" s="326"/>
      <c r="E55" s="326"/>
      <c r="F55" s="299"/>
      <c r="G55" s="299"/>
      <c r="H55" s="299"/>
      <c r="I55" s="299"/>
      <c r="J55" s="299"/>
      <c r="K55" s="299"/>
      <c r="L55" s="299"/>
      <c r="M55" s="304"/>
      <c r="N55" s="299"/>
      <c r="O55" s="299"/>
      <c r="P55" s="299"/>
      <c r="Q55" s="299"/>
      <c r="R55" s="299"/>
      <c r="S55" s="299"/>
      <c r="T55" s="299"/>
      <c r="U55" s="299"/>
      <c r="V55" s="299"/>
    </row>
  </sheetData>
  <sheetProtection algorithmName="SHA-512" hashValue="0FT0aAIixCf35XMcs6And+msprmZzyGEs4e83RbFG4a3ZVLI1PVLLkfSDZwdoHwZZwN8hjVRYV9JGniy6s6YQg==" saltValue="KPq4xETBfuSY83E2ujKpig==" spinCount="100000" sheet="1" objects="1" scenarios="1" sort="0" autoFilter="0"/>
  <protectedRanges>
    <protectedRange sqref="B7:K41" name="Plage1"/>
  </protectedRanges>
  <dataConsolidate/>
  <mergeCells count="2">
    <mergeCell ref="F6:J6"/>
    <mergeCell ref="B2:K3"/>
  </mergeCells>
  <phoneticPr fontId="26" type="noConversion"/>
  <dataValidations count="1">
    <dataValidation type="list" allowBlank="1" showInputMessage="1" showErrorMessage="1" sqref="K49:L1048576 K7:K41" xr:uid="{E754CD44-B905-49A8-AE44-6E8D0E60552C}">
      <formula1>"0,1,2,3,5,10,30"</formula1>
    </dataValidation>
  </dataValidations>
  <pageMargins left="0.23622047244094491" right="0.23622047244094491" top="0.74803149606299213" bottom="0.74803149606299213" header="0.31496062992125984" footer="0.31496062992125984"/>
  <pageSetup paperSize="9" scale="27" orientation="portrait" r:id="rId1"/>
  <headerFooter>
    <oddFooter>&amp;L&amp;D&amp;C&amp;G&amp;RPlan financier Crédal - Dossier confidentiel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968243-DC49-4C63-8C88-B40083AE3ED1}">
          <x14:formula1>
            <xm:f>Listes!$A$2:$A$10</xm:f>
          </x14:formula1>
          <xm:sqref>B7:B41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BDF7A-5544-4283-8290-BD0C826CC517}">
  <dimension ref="A1:J10"/>
  <sheetViews>
    <sheetView workbookViewId="0">
      <selection activeCell="B5" sqref="B5"/>
    </sheetView>
  </sheetViews>
  <sheetFormatPr baseColWidth="10" defaultRowHeight="15.05"/>
  <cols>
    <col min="1" max="1" width="34.21875" bestFit="1" customWidth="1"/>
    <col min="2" max="2" width="22.109375" bestFit="1" customWidth="1"/>
    <col min="3" max="3" width="11.77734375" bestFit="1" customWidth="1"/>
    <col min="4" max="4" width="6.33203125" bestFit="1" customWidth="1"/>
    <col min="5" max="7" width="11.77734375" bestFit="1" customWidth="1"/>
    <col min="8" max="8" width="6.33203125" bestFit="1" customWidth="1"/>
    <col min="9" max="9" width="11.77734375" bestFit="1" customWidth="1"/>
    <col min="10" max="10" width="12.77734375" bestFit="1" customWidth="1"/>
  </cols>
  <sheetData>
    <row r="1" spans="1:10">
      <c r="A1" s="58" t="s">
        <v>85</v>
      </c>
      <c r="B1" s="58" t="s">
        <v>86</v>
      </c>
      <c r="C1" s="58"/>
      <c r="D1" s="58"/>
      <c r="E1" s="58"/>
      <c r="F1" s="58"/>
      <c r="G1" s="58"/>
      <c r="H1" s="58"/>
      <c r="I1" s="58"/>
      <c r="J1" s="58"/>
    </row>
    <row r="2" spans="1:10">
      <c r="A2" s="58" t="s">
        <v>83</v>
      </c>
      <c r="B2" s="58">
        <v>2018</v>
      </c>
      <c r="C2" s="58">
        <v>2020</v>
      </c>
      <c r="D2" s="58">
        <v>2021</v>
      </c>
      <c r="E2" s="58">
        <v>2022</v>
      </c>
      <c r="F2" s="58">
        <v>2023</v>
      </c>
      <c r="G2" s="58">
        <v>2024</v>
      </c>
      <c r="H2" s="58">
        <v>2025</v>
      </c>
      <c r="I2" s="58">
        <v>2019</v>
      </c>
      <c r="J2" s="58" t="s">
        <v>84</v>
      </c>
    </row>
    <row r="3" spans="1:10">
      <c r="A3" s="59" t="s">
        <v>64</v>
      </c>
      <c r="B3" s="60"/>
      <c r="C3" s="60"/>
      <c r="D3" s="60">
        <v>0</v>
      </c>
      <c r="E3" s="60"/>
      <c r="F3" s="60"/>
      <c r="G3" s="60"/>
      <c r="H3" s="60"/>
      <c r="I3" s="60"/>
      <c r="J3" s="60">
        <v>0</v>
      </c>
    </row>
    <row r="4" spans="1:10">
      <c r="A4" s="59" t="s">
        <v>52</v>
      </c>
      <c r="B4" s="60"/>
      <c r="C4" s="60">
        <v>1500</v>
      </c>
      <c r="D4" s="60">
        <v>0</v>
      </c>
      <c r="E4" s="60"/>
      <c r="F4" s="60">
        <v>3000</v>
      </c>
      <c r="G4" s="60"/>
      <c r="H4" s="60"/>
      <c r="I4" s="60"/>
      <c r="J4" s="60">
        <v>4500</v>
      </c>
    </row>
    <row r="5" spans="1:10">
      <c r="A5" s="59" t="s">
        <v>65</v>
      </c>
      <c r="B5" s="60">
        <v>30000</v>
      </c>
      <c r="C5" s="60"/>
      <c r="D5" s="60">
        <v>0</v>
      </c>
      <c r="E5" s="60"/>
      <c r="F5" s="60"/>
      <c r="G5" s="60"/>
      <c r="H5" s="60"/>
      <c r="I5" s="60"/>
      <c r="J5" s="60">
        <v>30000</v>
      </c>
    </row>
    <row r="6" spans="1:10">
      <c r="A6" s="59" t="s">
        <v>67</v>
      </c>
      <c r="B6" s="60"/>
      <c r="C6" s="60">
        <v>11300</v>
      </c>
      <c r="D6" s="60">
        <v>0</v>
      </c>
      <c r="E6" s="60">
        <v>15000</v>
      </c>
      <c r="F6" s="60">
        <v>26400</v>
      </c>
      <c r="G6" s="60"/>
      <c r="H6" s="60"/>
      <c r="I6" s="60">
        <v>11000</v>
      </c>
      <c r="J6" s="60">
        <v>63700</v>
      </c>
    </row>
    <row r="7" spans="1:10">
      <c r="A7" s="59" t="s">
        <v>69</v>
      </c>
      <c r="B7" s="60"/>
      <c r="C7" s="60"/>
      <c r="D7" s="60"/>
      <c r="E7" s="60"/>
      <c r="F7" s="60"/>
      <c r="G7" s="60"/>
      <c r="H7" s="60">
        <v>0</v>
      </c>
      <c r="I7" s="60"/>
      <c r="J7" s="60">
        <v>0</v>
      </c>
    </row>
    <row r="8" spans="1:10">
      <c r="A8" s="59" t="s">
        <v>70</v>
      </c>
      <c r="B8" s="60"/>
      <c r="C8" s="60"/>
      <c r="D8" s="60"/>
      <c r="E8" s="60"/>
      <c r="F8" s="60"/>
      <c r="G8" s="60">
        <v>15000</v>
      </c>
      <c r="H8" s="60">
        <v>0</v>
      </c>
      <c r="I8" s="60"/>
      <c r="J8" s="60">
        <v>15000</v>
      </c>
    </row>
    <row r="9" spans="1:10">
      <c r="A9" s="59" t="s">
        <v>68</v>
      </c>
      <c r="B9" s="60"/>
      <c r="C9" s="60"/>
      <c r="D9" s="60"/>
      <c r="E9" s="60"/>
      <c r="F9" s="60"/>
      <c r="G9" s="60"/>
      <c r="H9" s="60">
        <v>0</v>
      </c>
      <c r="I9" s="60"/>
      <c r="J9" s="60">
        <v>0</v>
      </c>
    </row>
    <row r="10" spans="1:10">
      <c r="A10" s="59" t="s">
        <v>84</v>
      </c>
      <c r="B10" s="60">
        <v>30000</v>
      </c>
      <c r="C10" s="60">
        <v>12800</v>
      </c>
      <c r="D10" s="60">
        <v>0</v>
      </c>
      <c r="E10" s="60">
        <v>15000</v>
      </c>
      <c r="F10" s="60">
        <v>29400</v>
      </c>
      <c r="G10" s="60">
        <v>15000</v>
      </c>
      <c r="H10" s="60">
        <v>0</v>
      </c>
      <c r="I10" s="60">
        <v>11000</v>
      </c>
      <c r="J10" s="60">
        <v>113200</v>
      </c>
    </row>
  </sheetData>
  <sheetProtection algorithmName="SHA-512" hashValue="c7zpD4svhrwNAgJCzA1LpyVrXXAs5qQDOZVJx1Hzwg7KVkGMRwIs3ARK0CIyQfeeh2+gnAVCBmSNf8BhQHYOQw==" saltValue="JJ6kPI5ZD9VH+WfVa4T1wQ==" spinCount="100000" sheet="1" objects="1" scenarios="1" sort="0" autoFilter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F9970-9954-49CA-9F94-4815FD82D8E0}">
  <dimension ref="A1:G56"/>
  <sheetViews>
    <sheetView zoomScale="80" zoomScaleNormal="80" workbookViewId="0">
      <pane ySplit="2" topLeftCell="A44" activePane="bottomLeft" state="frozen"/>
      <selection pane="bottomLeft" activeCell="B31" sqref="B31"/>
    </sheetView>
  </sheetViews>
  <sheetFormatPr baseColWidth="10" defaultColWidth="8.6640625" defaultRowHeight="15.05"/>
  <cols>
    <col min="1" max="1" width="55" style="705" customWidth="1"/>
    <col min="2" max="2" width="23.109375" style="705" customWidth="1"/>
    <col min="3" max="3" width="27.109375" style="705" customWidth="1"/>
    <col min="4" max="4" width="23.109375" style="705" customWidth="1"/>
    <col min="5" max="5" width="16" style="705" customWidth="1"/>
    <col min="6" max="6" width="22.44140625" style="705" customWidth="1"/>
    <col min="7" max="7" width="22.33203125" style="705" customWidth="1"/>
    <col min="8" max="16384" width="8.6640625" style="705"/>
  </cols>
  <sheetData>
    <row r="1" spans="1:7" ht="25.55" customHeight="1">
      <c r="A1" s="769" t="s">
        <v>622</v>
      </c>
      <c r="B1" s="769"/>
      <c r="C1" s="769"/>
      <c r="D1" s="769"/>
      <c r="E1" s="769"/>
      <c r="F1" s="769"/>
      <c r="G1" s="769"/>
    </row>
    <row r="2" spans="1:7" ht="33.85" customHeight="1">
      <c r="A2" s="770" t="s">
        <v>623</v>
      </c>
      <c r="B2" s="770"/>
      <c r="C2" s="706" t="s">
        <v>624</v>
      </c>
      <c r="D2" s="771" t="s">
        <v>625</v>
      </c>
      <c r="E2" s="771"/>
      <c r="F2" s="771"/>
      <c r="G2" s="771"/>
    </row>
    <row r="3" spans="1:7" ht="18" customHeight="1">
      <c r="A3" s="763" t="s">
        <v>626</v>
      </c>
      <c r="B3" s="763"/>
      <c r="C3" s="763"/>
      <c r="D3" s="763"/>
      <c r="E3" s="763"/>
      <c r="F3" s="763"/>
      <c r="G3" s="763"/>
    </row>
    <row r="4" spans="1:7" ht="15.85" customHeight="1">
      <c r="A4" s="707" t="s">
        <v>627</v>
      </c>
      <c r="B4" s="707" t="s">
        <v>628</v>
      </c>
      <c r="C4" s="707" t="s">
        <v>629</v>
      </c>
    </row>
    <row r="5" spans="1:7" ht="28.5" customHeight="1">
      <c r="A5" s="708" t="s">
        <v>630</v>
      </c>
      <c r="B5" s="709">
        <v>45292</v>
      </c>
      <c r="C5" s="710" t="s">
        <v>631</v>
      </c>
    </row>
    <row r="6" spans="1:7" ht="18" customHeight="1">
      <c r="A6" s="708" t="s">
        <v>632</v>
      </c>
      <c r="B6" s="709">
        <v>45784</v>
      </c>
      <c r="C6" s="710" t="s">
        <v>633</v>
      </c>
    </row>
    <row r="7" spans="1:7" ht="18" customHeight="1">
      <c r="A7" s="708" t="s">
        <v>634</v>
      </c>
      <c r="B7" s="711">
        <f>IFERROR(DATEDIF(B5,B6,"Y"),0)</f>
        <v>1</v>
      </c>
      <c r="C7" s="710" t="s">
        <v>635</v>
      </c>
    </row>
    <row r="8" spans="1:7" ht="18" customHeight="1">
      <c r="A8" s="708" t="s">
        <v>636</v>
      </c>
      <c r="B8" s="712">
        <v>112.29</v>
      </c>
      <c r="C8" s="710" t="s">
        <v>637</v>
      </c>
    </row>
    <row r="9" spans="1:7" ht="29.45" customHeight="1">
      <c r="A9" s="708" t="s">
        <v>638</v>
      </c>
      <c r="B9" s="713">
        <v>135.76</v>
      </c>
      <c r="C9" s="714" t="s">
        <v>639</v>
      </c>
    </row>
    <row r="10" spans="1:7" ht="18" customHeight="1">
      <c r="A10" s="715" t="s">
        <v>640</v>
      </c>
      <c r="B10" s="716">
        <f>B9/B8</f>
        <v>1.2090123786623919</v>
      </c>
      <c r="C10" s="710" t="s">
        <v>635</v>
      </c>
    </row>
    <row r="11" spans="1:7" ht="18" customHeight="1">
      <c r="A11" s="708" t="s">
        <v>641</v>
      </c>
      <c r="B11" s="717">
        <f>0.153*B10</f>
        <v>0.18497889393534594</v>
      </c>
      <c r="C11" s="710" t="s">
        <v>642</v>
      </c>
    </row>
    <row r="12" spans="1:7" ht="18" customHeight="1">
      <c r="A12" s="708" t="s">
        <v>643</v>
      </c>
      <c r="B12" s="717">
        <f>0.232*B10</f>
        <v>0.28049087184967492</v>
      </c>
      <c r="C12" s="710" t="s">
        <v>642</v>
      </c>
    </row>
    <row r="13" spans="1:7" ht="18" customHeight="1">
      <c r="A13" s="763" t="s">
        <v>644</v>
      </c>
      <c r="B13" s="763"/>
      <c r="C13" s="763"/>
      <c r="D13" s="763"/>
      <c r="E13" s="763"/>
      <c r="F13" s="763"/>
      <c r="G13" s="763"/>
    </row>
    <row r="14" spans="1:7" ht="15.85" customHeight="1">
      <c r="A14" s="718" t="s">
        <v>645</v>
      </c>
      <c r="B14" s="707" t="s">
        <v>646</v>
      </c>
      <c r="C14" s="719"/>
    </row>
    <row r="15" spans="1:7" ht="18" customHeight="1">
      <c r="A15" s="708" t="s">
        <v>647</v>
      </c>
      <c r="B15" s="720" t="s">
        <v>648</v>
      </c>
      <c r="C15" s="721"/>
    </row>
    <row r="16" spans="1:7" ht="18" customHeight="1">
      <c r="A16" s="708" t="s">
        <v>649</v>
      </c>
      <c r="B16" s="720" t="s">
        <v>648</v>
      </c>
      <c r="C16" s="721"/>
    </row>
    <row r="17" spans="1:7" ht="15.85" customHeight="1">
      <c r="A17" s="707" t="s">
        <v>650</v>
      </c>
      <c r="B17" s="707" t="s">
        <v>646</v>
      </c>
      <c r="C17" s="719"/>
    </row>
    <row r="18" spans="1:7" ht="27.1" customHeight="1">
      <c r="A18" s="708" t="s">
        <v>651</v>
      </c>
      <c r="B18" s="720" t="s">
        <v>652</v>
      </c>
    </row>
    <row r="19" spans="1:7" ht="27.1" customHeight="1">
      <c r="A19" s="722" t="s">
        <v>653</v>
      </c>
      <c r="B19" s="720" t="s">
        <v>652</v>
      </c>
    </row>
    <row r="20" spans="1:7" ht="27.1" customHeight="1">
      <c r="A20" s="722" t="s">
        <v>654</v>
      </c>
      <c r="B20" s="720" t="s">
        <v>652</v>
      </c>
    </row>
    <row r="21" spans="1:7" ht="27.1" customHeight="1">
      <c r="A21" s="708" t="s">
        <v>655</v>
      </c>
      <c r="B21" s="720">
        <v>0</v>
      </c>
    </row>
    <row r="22" spans="1:7" ht="30.7" customHeight="1">
      <c r="A22" s="723" t="s">
        <v>656</v>
      </c>
      <c r="B22" s="724" t="str">
        <f>IF(AND(B15="oui",B16="oui"),
IF(OR(
  B18="non",
  AND(B18="oui",B19="non",B20="oui")
),"✅ OUI – Exempté","❌ NON – Redevance applicable"),
IF(B16="oui","❌ NON – Redevance applicable","Non concerné"))</f>
        <v>❌ NON – Redevance applicable</v>
      </c>
    </row>
    <row r="23" spans="1:7" ht="45.1" customHeight="1">
      <c r="A23" s="768" t="s">
        <v>657</v>
      </c>
      <c r="B23" s="768"/>
      <c r="C23" s="768"/>
      <c r="D23" s="768"/>
      <c r="E23" s="768"/>
      <c r="F23" s="768"/>
      <c r="G23" s="768"/>
    </row>
    <row r="24" spans="1:7" ht="18" customHeight="1">
      <c r="A24" s="763" t="s">
        <v>658</v>
      </c>
      <c r="B24" s="763"/>
      <c r="C24" s="763"/>
      <c r="D24" s="763"/>
      <c r="E24" s="763"/>
      <c r="F24" s="763"/>
      <c r="G24" s="763"/>
    </row>
    <row r="25" spans="1:7" ht="15.85" customHeight="1">
      <c r="A25" s="707" t="s">
        <v>659</v>
      </c>
      <c r="B25" s="707" t="s">
        <v>660</v>
      </c>
      <c r="C25" s="707" t="s">
        <v>661</v>
      </c>
    </row>
    <row r="26" spans="1:7" ht="29.3" customHeight="1">
      <c r="A26" s="723" t="s">
        <v>662</v>
      </c>
      <c r="B26" s="725">
        <v>19500</v>
      </c>
      <c r="C26" s="710" t="s">
        <v>663</v>
      </c>
    </row>
    <row r="27" spans="1:7" ht="18" customHeight="1">
      <c r="A27" s="764" t="s">
        <v>664</v>
      </c>
      <c r="B27" s="764"/>
      <c r="C27" s="764"/>
      <c r="D27" s="764"/>
      <c r="E27" s="764"/>
      <c r="F27" s="764"/>
      <c r="G27" s="764"/>
    </row>
    <row r="28" spans="1:7" ht="15.85" customHeight="1">
      <c r="A28" s="765" t="s">
        <v>665</v>
      </c>
      <c r="B28" s="765"/>
      <c r="C28" s="765"/>
      <c r="D28" s="726"/>
      <c r="E28" s="727"/>
    </row>
    <row r="29" spans="1:7" ht="19.899999999999999" customHeight="1">
      <c r="A29" s="708" t="s">
        <v>666</v>
      </c>
      <c r="B29" s="728">
        <f>IF(B16="oui",B26*1,0)</f>
        <v>19500</v>
      </c>
      <c r="C29" s="728">
        <f>IF(B16="oui",
ROUNDUP(MIN(B29,B52)/B51,0)*C52
+IF(B29&gt;A53,ROUNDUP(MIN(B29-A53,B53-A53)/B51,0)*C53,0)
+IF(B29&gt;A54,ROUNDUP(MIN(B29-A54,B54-A54)/B51,0)*C54,0)
+IF(B29&gt;A55,ROUNDUP(MIN(B29-A55,B55-A55)/B51,0)*C55,0)
+IF(B29&gt;A56,ROUNDUP((B29-A56)/B51,0)*C56,0),0)</f>
        <v>345</v>
      </c>
    </row>
    <row r="30" spans="1:7" ht="19.899999999999999" customHeight="1">
      <c r="A30" s="715" t="s">
        <v>667</v>
      </c>
      <c r="B30" s="729"/>
      <c r="C30" s="728">
        <f>SUM(C29:C29)</f>
        <v>345</v>
      </c>
    </row>
    <row r="31" spans="1:7" ht="19.899999999999999" customHeight="1">
      <c r="A31" s="722" t="s">
        <v>668</v>
      </c>
      <c r="B31" s="730" t="s">
        <v>669</v>
      </c>
      <c r="C31" s="729"/>
    </row>
    <row r="32" spans="1:7" ht="30.05" customHeight="1">
      <c r="A32" s="707" t="s">
        <v>659</v>
      </c>
      <c r="B32" s="707" t="s">
        <v>670</v>
      </c>
      <c r="C32" s="731" t="s">
        <v>671</v>
      </c>
      <c r="D32" s="732" t="s">
        <v>672</v>
      </c>
      <c r="E32" s="707" t="s">
        <v>673</v>
      </c>
    </row>
    <row r="33" spans="1:7" ht="18" customHeight="1">
      <c r="A33" s="708" t="s">
        <v>674</v>
      </c>
      <c r="B33" s="733">
        <v>1</v>
      </c>
      <c r="C33" s="734">
        <f>IF(B31="oui","N/A",IF(B16="oui",IF(B33=0,0,1790+1200*(B33-1)),0))</f>
        <v>1790</v>
      </c>
      <c r="D33" s="735">
        <v>1</v>
      </c>
      <c r="E33" s="728" t="str">
        <f>IF(B31="non","N/A",IF(B16="oui",IF(D33=0,0,1790+1200*(D33-1)),0))</f>
        <v>N/A</v>
      </c>
    </row>
    <row r="34" spans="1:7" ht="28.5" customHeight="1">
      <c r="A34" s="708" t="s">
        <v>675</v>
      </c>
      <c r="B34" s="733">
        <v>1</v>
      </c>
      <c r="C34" s="736">
        <f>IF(B31="oui","N/A",IF(B16="oui",B34*120,0))</f>
        <v>120</v>
      </c>
      <c r="D34" s="737">
        <v>40</v>
      </c>
      <c r="E34" s="728" t="str">
        <f>IF(B31="non","N/A",IF(B16="oui",D34*147,0))</f>
        <v>N/A</v>
      </c>
    </row>
    <row r="35" spans="1:7" ht="18" customHeight="1">
      <c r="A35" s="708" t="s">
        <v>676</v>
      </c>
      <c r="B35" s="733">
        <v>1</v>
      </c>
      <c r="C35" s="736">
        <f>IF(B31="oui","N/A",IF(B16="oui",B35*180,0))</f>
        <v>180</v>
      </c>
      <c r="D35" s="737">
        <v>20</v>
      </c>
      <c r="E35" s="728" t="str">
        <f>IF(B31="non","N/A",IF(B16="oui",D35*180,0))</f>
        <v>N/A</v>
      </c>
    </row>
    <row r="36" spans="1:7" ht="28.5" customHeight="1">
      <c r="A36" s="708" t="s">
        <v>677</v>
      </c>
      <c r="B36" s="729"/>
      <c r="C36" s="734">
        <f>IFERROR(IF(B16="oui",MIN(C34+C35,C30*0.5),C34+C35),"N/A")</f>
        <v>172.5</v>
      </c>
      <c r="D36" s="729"/>
      <c r="E36" s="738" t="str">
        <f>IFERROR(IF(B16="oui",MIN(E34+E35,C30*0.5),E34+E35),"N/A")</f>
        <v>N/A</v>
      </c>
    </row>
    <row r="37" spans="1:7" ht="15.85" customHeight="1">
      <c r="A37" s="764" t="s">
        <v>678</v>
      </c>
      <c r="B37" s="764"/>
      <c r="C37" s="764"/>
      <c r="D37" s="764"/>
      <c r="E37" s="764"/>
      <c r="F37" s="764"/>
      <c r="G37" s="764"/>
    </row>
    <row r="38" spans="1:7" ht="19.600000000000001" customHeight="1">
      <c r="A38" s="708" t="s">
        <v>679</v>
      </c>
      <c r="B38" s="739">
        <f>IF(B16="oui",ROUND(4750*B10,0),"N/A")</f>
        <v>5743</v>
      </c>
      <c r="C38" s="710" t="s">
        <v>680</v>
      </c>
    </row>
    <row r="39" spans="1:7" ht="27.7" customHeight="1">
      <c r="A39" s="708" t="s">
        <v>681</v>
      </c>
      <c r="B39" s="739" t="str">
        <f>IF(AND(B16="oui",B26&lt;=15779*B10),2075*B10,"PAS D'APPLICATION")</f>
        <v>PAS D'APPLICATION</v>
      </c>
      <c r="C39" s="710" t="s">
        <v>682</v>
      </c>
    </row>
    <row r="40" spans="1:7" ht="29.45" customHeight="1">
      <c r="A40" s="708" t="s">
        <v>683</v>
      </c>
      <c r="B40" s="739">
        <f>IF(AND(B16="oui",SUM(C33,C36,C30)&lt;B38,B39="PAS D'APPLICATION",B7&lt;2),4450*B10,"PAS D'APPLICATION")</f>
        <v>5380.105085047644</v>
      </c>
      <c r="C40" s="710" t="s">
        <v>684</v>
      </c>
    </row>
    <row r="41" spans="1:7" ht="19.600000000000001" customHeight="1">
      <c r="A41" s="723" t="s">
        <v>685</v>
      </c>
      <c r="B41" s="739" cm="1">
        <f t="array" ref="B41">IFERROR(INDEX(_xlfn._xlws.FILTER(B39:B40,B39:B40&lt;&gt;"PAS D'APPLICATION"),1),B38)</f>
        <v>5380.105085047644</v>
      </c>
    </row>
    <row r="42" spans="1:7" ht="18" customHeight="1">
      <c r="A42" s="766" t="s">
        <v>686</v>
      </c>
      <c r="B42" s="766"/>
      <c r="C42" s="766"/>
      <c r="D42" s="766"/>
      <c r="E42" s="766"/>
      <c r="F42" s="766"/>
      <c r="G42" s="766"/>
    </row>
    <row r="43" spans="1:7" ht="45.7" customHeight="1">
      <c r="A43" s="715" t="s">
        <v>687</v>
      </c>
      <c r="B43" s="729"/>
      <c r="C43" s="740">
        <f>IFERROR(IF(B22="✅ OUI – Exempté",0,IF(AND(B16="oui",OR(B15="oui",B16="oui")),MAX(B41,C33+C36+C30),MAX(B41,C33+C34+C35+C30))),"N/A")</f>
        <v>5380.105085047644</v>
      </c>
      <c r="D43" s="715" t="s">
        <v>688</v>
      </c>
      <c r="E43" s="729"/>
      <c r="F43" s="740" t="str">
        <f>IFERROR(IF(B22="✅ OUI – Exempté",0,IF(AND(B16="oui",OR(B15="oui",B16="oui")),MAX(B41,E33+E36+E30),MAX(B41,E33+E34+E35+E30))),"N/A")</f>
        <v>N/A</v>
      </c>
    </row>
    <row r="44" spans="1:7" ht="65.3" customHeight="1">
      <c r="A44" s="723" t="s">
        <v>689</v>
      </c>
      <c r="B44" s="729"/>
      <c r="C44" s="741">
        <f>IFERROR(C43*B11,"N/A")</f>
        <v>995.20588788804355</v>
      </c>
      <c r="D44" s="723" t="s">
        <v>690</v>
      </c>
      <c r="E44" s="729"/>
      <c r="F44" s="741" t="str">
        <f>IFERROR(F43*B11,"N/A")</f>
        <v>N/A</v>
      </c>
    </row>
    <row r="45" spans="1:7" ht="63.7" customHeight="1">
      <c r="A45" s="723" t="s">
        <v>691</v>
      </c>
      <c r="B45" s="729"/>
      <c r="C45" s="741">
        <f>IFERROR(C43*B12,"N/A")</f>
        <v>1509.0703659478831</v>
      </c>
      <c r="D45" s="723" t="s">
        <v>692</v>
      </c>
      <c r="E45" s="729"/>
      <c r="F45" s="741" t="str">
        <f>IFERROR(F43*B12,"N/A")</f>
        <v>N/A</v>
      </c>
    </row>
    <row r="46" spans="1:7" ht="62.3" customHeight="1">
      <c r="A46" s="742" t="s">
        <v>693</v>
      </c>
      <c r="B46" s="729"/>
      <c r="C46" s="741">
        <f>IFERROR(AVERAGE(C44:C45),"N/A")</f>
        <v>1252.1381269179633</v>
      </c>
      <c r="D46" s="742" t="s">
        <v>693</v>
      </c>
      <c r="E46" s="729"/>
      <c r="F46" s="741" t="str">
        <f>IFERROR(AVERAGE(F44:F45),"N/A")</f>
        <v>N/A</v>
      </c>
    </row>
    <row r="47" spans="1:7" ht="39.799999999999997" customHeight="1">
      <c r="A47" s="767" t="s">
        <v>694</v>
      </c>
      <c r="B47" s="767"/>
      <c r="C47" s="767"/>
      <c r="D47" s="767"/>
      <c r="E47" s="767"/>
      <c r="F47" s="767"/>
      <c r="G47" s="767"/>
    </row>
    <row r="48" spans="1:7" ht="18" customHeight="1">
      <c r="A48" s="761" t="s">
        <v>695</v>
      </c>
      <c r="B48" s="761"/>
      <c r="C48" s="761"/>
      <c r="D48" s="761"/>
      <c r="E48" s="761"/>
      <c r="F48" s="761"/>
      <c r="G48" s="761"/>
    </row>
    <row r="49" spans="1:7" ht="18" customHeight="1">
      <c r="A49" s="762" t="s">
        <v>696</v>
      </c>
      <c r="B49" s="762"/>
      <c r="C49" s="762"/>
      <c r="D49" s="762"/>
      <c r="E49" s="762"/>
      <c r="F49" s="762"/>
      <c r="G49" s="762"/>
    </row>
    <row r="50" spans="1:7" ht="29.3" customHeight="1">
      <c r="A50" s="743" t="s">
        <v>697</v>
      </c>
      <c r="B50" s="743" t="s">
        <v>698</v>
      </c>
      <c r="C50" s="743" t="s">
        <v>699</v>
      </c>
      <c r="D50" s="719"/>
      <c r="E50" s="719"/>
      <c r="F50" s="719"/>
      <c r="G50" s="719"/>
    </row>
    <row r="51" spans="1:7" ht="15.85" customHeight="1">
      <c r="A51" s="744" t="s">
        <v>700</v>
      </c>
      <c r="B51" s="745">
        <f>6311.5*B10</f>
        <v>7630.6816279276863</v>
      </c>
    </row>
    <row r="52" spans="1:7" ht="15.85" customHeight="1">
      <c r="A52" s="746">
        <v>0</v>
      </c>
      <c r="B52" s="746">
        <f>1577875*B10</f>
        <v>1907670.4069819215</v>
      </c>
      <c r="C52" s="747">
        <v>115</v>
      </c>
    </row>
    <row r="53" spans="1:7" ht="15.85" customHeight="1">
      <c r="A53" s="746">
        <f>1577876*B10</f>
        <v>1907671.6159943002</v>
      </c>
      <c r="B53" s="746">
        <f>7889375*B10</f>
        <v>9538352.0349096078</v>
      </c>
      <c r="C53" s="747">
        <v>57.5</v>
      </c>
    </row>
    <row r="54" spans="1:7" ht="15.85" customHeight="1">
      <c r="A54" s="746">
        <f>7889376*B10</f>
        <v>9538353.2439219858</v>
      </c>
      <c r="B54" s="746">
        <f>18934500*B10</f>
        <v>22892044.883783057</v>
      </c>
      <c r="C54" s="747">
        <v>34.5</v>
      </c>
    </row>
    <row r="55" spans="1:7" ht="15.85" customHeight="1">
      <c r="A55" s="746">
        <f>18934501*B10</f>
        <v>22892046.092795439</v>
      </c>
      <c r="B55" s="746">
        <f>31557500*B10</f>
        <v>38153408.139638431</v>
      </c>
      <c r="C55" s="747">
        <v>20</v>
      </c>
    </row>
    <row r="56" spans="1:7" ht="15.85" customHeight="1">
      <c r="A56" s="746">
        <f>31557501*B10</f>
        <v>38153409.348650813</v>
      </c>
      <c r="B56" s="748"/>
      <c r="C56" s="747">
        <v>11.5</v>
      </c>
    </row>
  </sheetData>
  <mergeCells count="14">
    <mergeCell ref="A23:G23"/>
    <mergeCell ref="A1:G1"/>
    <mergeCell ref="A2:B2"/>
    <mergeCell ref="D2:G2"/>
    <mergeCell ref="A3:G3"/>
    <mergeCell ref="A13:G13"/>
    <mergeCell ref="A48:G48"/>
    <mergeCell ref="A49:G49"/>
    <mergeCell ref="A24:G24"/>
    <mergeCell ref="A27:G27"/>
    <mergeCell ref="A28:C28"/>
    <mergeCell ref="A37:G37"/>
    <mergeCell ref="A42:G42"/>
    <mergeCell ref="A47:G47"/>
  </mergeCells>
  <dataValidations count="2">
    <dataValidation type="list" allowBlank="1" showInputMessage="1" showErrorMessage="1" sqref="B18:B20" xr:uid="{096069AE-D62E-41D5-8BE7-466CCC62C596}">
      <formula1>"oui,non,pas d'application"</formula1>
      <formula2>0</formula2>
    </dataValidation>
    <dataValidation type="list" errorTitle="Valeur invalide" error="Saisir oui ou non" sqref="B15:B16 B28 B30:B31" xr:uid="{1E63FDAA-C9FB-4AD1-8229-6E3AC44104EC}">
      <formula1>"oui,non"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934A1-B068-4C71-9AEC-077E40E005E8}">
  <sheetPr>
    <pageSetUpPr fitToPage="1"/>
  </sheetPr>
  <dimension ref="A1:O98"/>
  <sheetViews>
    <sheetView showGridLines="0" topLeftCell="B11" zoomScale="85" zoomScaleNormal="85" zoomScaleSheetLayoutView="85" zoomScalePageLayoutView="75" workbookViewId="0">
      <selection activeCell="J83" sqref="J83"/>
    </sheetView>
  </sheetViews>
  <sheetFormatPr baseColWidth="10" defaultColWidth="11.44140625" defaultRowHeight="13.15" outlineLevelRow="1" outlineLevelCol="1"/>
  <cols>
    <col min="1" max="1" width="7.109375" style="61" customWidth="1" outlineLevel="1"/>
    <col min="2" max="2" width="22.33203125" style="34" bestFit="1" customWidth="1"/>
    <col min="3" max="3" width="14.5546875" style="34" customWidth="1"/>
    <col min="4" max="4" width="25.6640625" style="34" customWidth="1"/>
    <col min="5" max="5" width="31" style="34" customWidth="1"/>
    <col min="6" max="6" width="7" style="34" customWidth="1"/>
    <col min="7" max="7" width="3" style="34" customWidth="1"/>
    <col min="8" max="11" width="21.33203125" style="105" customWidth="1" outlineLevel="1"/>
    <col min="12" max="12" width="57" style="66" customWidth="1" outlineLevel="1"/>
    <col min="13" max="13" width="12.6640625" style="34" bestFit="1" customWidth="1"/>
    <col min="14" max="14" width="11.44140625" style="34"/>
    <col min="15" max="18" width="11.5546875" style="34" bestFit="1" customWidth="1"/>
    <col min="19" max="16384" width="11.44140625" style="34"/>
  </cols>
  <sheetData>
    <row r="1" spans="1:15" s="30" customFormat="1"/>
    <row r="2" spans="1:15" s="30" customFormat="1" ht="13.8" customHeight="1">
      <c r="B2" s="33"/>
      <c r="C2" s="33"/>
      <c r="D2" s="33"/>
      <c r="E2" s="33"/>
      <c r="F2" s="33"/>
      <c r="G2" s="33"/>
      <c r="H2" s="33"/>
      <c r="I2" s="33"/>
      <c r="L2" s="33"/>
    </row>
    <row r="3" spans="1:15" s="30" customFormat="1" ht="13.8" customHeight="1">
      <c r="B3" s="33"/>
      <c r="C3" s="33"/>
      <c r="D3" s="33"/>
      <c r="E3" s="33"/>
      <c r="F3" s="33"/>
      <c r="G3" s="33"/>
      <c r="H3" s="33"/>
      <c r="I3" s="33"/>
      <c r="L3" s="33"/>
    </row>
    <row r="4" spans="1:15" s="30" customFormat="1" ht="13.8" customHeight="1">
      <c r="B4" s="33"/>
      <c r="C4" s="33"/>
      <c r="D4" s="33"/>
      <c r="E4" s="33"/>
      <c r="F4" s="33"/>
      <c r="G4" s="33"/>
      <c r="H4" s="33"/>
      <c r="I4" s="33"/>
      <c r="L4" s="33"/>
    </row>
    <row r="5" spans="1:15" s="30" customFormat="1"/>
    <row r="6" spans="1:15" s="30" customFormat="1"/>
    <row r="7" spans="1:15" ht="15.05">
      <c r="A7" s="335"/>
      <c r="B7" s="62" t="s">
        <v>283</v>
      </c>
      <c r="C7" s="62"/>
      <c r="D7" s="62"/>
      <c r="E7" s="62"/>
      <c r="F7" s="62"/>
      <c r="G7" s="62"/>
      <c r="H7" s="63"/>
      <c r="I7" s="63"/>
      <c r="J7" s="63"/>
      <c r="K7" s="63"/>
      <c r="L7" s="63"/>
    </row>
    <row r="8" spans="1:15" ht="15.05">
      <c r="A8" s="335"/>
      <c r="B8" s="62" t="s">
        <v>281</v>
      </c>
      <c r="C8" s="62"/>
      <c r="D8" s="62"/>
      <c r="E8" s="62"/>
      <c r="F8" s="62"/>
      <c r="G8" s="62"/>
      <c r="H8" s="63"/>
      <c r="I8" s="63"/>
      <c r="J8" s="63"/>
      <c r="K8" s="63"/>
      <c r="L8" s="63"/>
    </row>
    <row r="9" spans="1:15" ht="15.05">
      <c r="A9" s="335"/>
      <c r="B9" s="62"/>
      <c r="C9" s="62"/>
      <c r="D9" s="62"/>
      <c r="E9" s="62"/>
      <c r="F9" s="62"/>
      <c r="G9" s="62"/>
      <c r="H9" s="63"/>
      <c r="I9" s="63"/>
      <c r="J9" s="63"/>
      <c r="K9" s="63"/>
      <c r="L9" s="63"/>
    </row>
    <row r="10" spans="1:15" ht="14.4" customHeight="1" thickBot="1">
      <c r="A10" s="335"/>
      <c r="B10" s="299"/>
      <c r="C10" s="336"/>
      <c r="D10" s="336"/>
      <c r="E10" s="62"/>
      <c r="F10" s="62"/>
      <c r="G10" s="62"/>
      <c r="H10" s="63"/>
      <c r="I10" s="63"/>
      <c r="J10" s="63"/>
      <c r="K10" s="63"/>
      <c r="L10" s="63"/>
    </row>
    <row r="11" spans="1:15" ht="29.45" customHeight="1" thickBot="1">
      <c r="A11" s="335"/>
      <c r="B11" s="810" t="s">
        <v>464</v>
      </c>
      <c r="C11" s="811"/>
      <c r="D11" s="812"/>
      <c r="E11" s="337">
        <v>0.3</v>
      </c>
      <c r="F11" s="63"/>
      <c r="G11" s="62"/>
      <c r="H11" s="63"/>
      <c r="I11" s="63"/>
      <c r="J11" s="63"/>
      <c r="K11" s="63"/>
      <c r="L11" s="63"/>
    </row>
    <row r="12" spans="1:15" ht="29.45" customHeight="1">
      <c r="A12" s="335"/>
      <c r="B12" s="338"/>
      <c r="C12" s="338"/>
      <c r="D12" s="338"/>
      <c r="E12" s="63"/>
      <c r="F12" s="63"/>
      <c r="G12" s="63"/>
      <c r="H12" s="63"/>
      <c r="I12" s="63"/>
      <c r="J12" s="63"/>
      <c r="K12" s="63"/>
      <c r="L12" s="63"/>
    </row>
    <row r="13" spans="1:15" ht="33.65" customHeight="1">
      <c r="A13" s="335"/>
      <c r="B13" s="62"/>
      <c r="C13" s="62"/>
      <c r="D13" s="62"/>
      <c r="E13" s="64" t="s">
        <v>462</v>
      </c>
      <c r="F13" s="64"/>
      <c r="G13" s="65"/>
      <c r="H13" s="809" t="s">
        <v>463</v>
      </c>
      <c r="I13" s="809"/>
      <c r="J13" s="809"/>
      <c r="K13" s="809"/>
      <c r="L13" s="63"/>
    </row>
    <row r="14" spans="1:15" ht="22.85" customHeight="1" thickBot="1">
      <c r="A14" s="335"/>
      <c r="B14" s="339"/>
      <c r="C14" s="339"/>
      <c r="D14" s="339"/>
      <c r="E14" s="299"/>
      <c r="F14" s="299"/>
      <c r="G14" s="67"/>
      <c r="H14" s="339"/>
      <c r="I14" s="339"/>
      <c r="J14" s="68" t="s">
        <v>80</v>
      </c>
      <c r="K14" s="339"/>
      <c r="L14" s="339"/>
      <c r="M14" s="66"/>
      <c r="N14" s="66"/>
      <c r="O14" s="66"/>
    </row>
    <row r="15" spans="1:15" ht="25.85" customHeight="1" thickBot="1">
      <c r="A15" s="335"/>
      <c r="B15" s="821" t="s">
        <v>282</v>
      </c>
      <c r="C15" s="822"/>
      <c r="D15" s="823"/>
      <c r="E15" s="299"/>
      <c r="F15" s="299"/>
      <c r="G15" s="67"/>
      <c r="H15" s="341">
        <v>0.03</v>
      </c>
      <c r="I15" s="341">
        <v>0.03</v>
      </c>
      <c r="J15" s="341">
        <v>0.03</v>
      </c>
      <c r="K15" s="341">
        <v>0.03</v>
      </c>
      <c r="L15" s="340" t="s">
        <v>282</v>
      </c>
      <c r="M15" s="69"/>
      <c r="N15" s="70"/>
      <c r="O15" s="66"/>
    </row>
    <row r="16" spans="1:15" ht="24.6" customHeight="1" thickBot="1">
      <c r="A16" s="335"/>
      <c r="B16" s="824" t="s">
        <v>158</v>
      </c>
      <c r="C16" s="824"/>
      <c r="D16" s="825"/>
      <c r="E16" s="71" t="str">
        <f>(I16&amp;" (Dernière année complète)")</f>
        <v>2025 (Dernière année complète)</v>
      </c>
      <c r="F16" s="71" t="s">
        <v>556</v>
      </c>
      <c r="G16" s="72"/>
      <c r="H16" s="71">
        <f>'1. DONNEES DE BASE'!$B$1-2</f>
        <v>2024</v>
      </c>
      <c r="I16" s="71">
        <f>H16+1</f>
        <v>2025</v>
      </c>
      <c r="J16" s="71">
        <f>I16+1</f>
        <v>2026</v>
      </c>
      <c r="K16" s="71">
        <f>J16+1</f>
        <v>2027</v>
      </c>
      <c r="L16" s="342" t="s">
        <v>158</v>
      </c>
      <c r="M16" s="73"/>
      <c r="N16" s="74"/>
    </row>
    <row r="17" spans="1:12" s="78" customFormat="1" ht="32.25" customHeight="1" thickBot="1">
      <c r="A17" s="343"/>
      <c r="B17" s="813" t="s">
        <v>96</v>
      </c>
      <c r="C17" s="814"/>
      <c r="D17" s="815"/>
      <c r="E17" s="75"/>
      <c r="F17" s="75"/>
      <c r="G17" s="76"/>
      <c r="H17" s="77" t="s">
        <v>380</v>
      </c>
      <c r="I17" s="77" t="s">
        <v>380</v>
      </c>
      <c r="J17" s="77" t="s">
        <v>380</v>
      </c>
      <c r="K17" s="77" t="s">
        <v>380</v>
      </c>
      <c r="L17" s="339"/>
    </row>
    <row r="18" spans="1:12" ht="18.95" customHeight="1" thickBot="1">
      <c r="A18" s="335"/>
      <c r="B18" s="816"/>
      <c r="C18" s="817"/>
      <c r="D18" s="818"/>
      <c r="E18" s="79">
        <f>SUM(E21,E30,E41,E50,E56,E57,E66,,E71,E72,E77,E81)</f>
        <v>4670</v>
      </c>
      <c r="F18" s="80"/>
      <c r="G18" s="81"/>
      <c r="H18" s="79">
        <f ca="1">SUM(H21,H30,H41,H50,H56,H57,H66,H70,H71,H72,H77,H81)</f>
        <v>51818.461886894947</v>
      </c>
      <c r="I18" s="79">
        <f ca="1">SUM(I21,I30,I41,I50,I56,I57,I66,I70,I71,I72,I77,I81)</f>
        <v>50741.3157435018</v>
      </c>
      <c r="J18" s="79">
        <f ca="1">SUM(J21,J30,J41,J50,J56,J57,J66,J70,J71,J72,J77,J81)</f>
        <v>51959.655215806852</v>
      </c>
      <c r="K18" s="79">
        <f ca="1">SUM(K21,K30,K41,K50,K56,K57,K66,K70,K71,K72,K77,K81)</f>
        <v>53214.544872281054</v>
      </c>
      <c r="L18" s="339"/>
    </row>
    <row r="19" spans="1:12" ht="13.95" customHeight="1" thickBot="1">
      <c r="A19" s="335"/>
      <c r="B19" s="344"/>
      <c r="C19" s="344"/>
      <c r="D19" s="344"/>
      <c r="E19" s="344"/>
      <c r="F19" s="344"/>
      <c r="G19" s="82"/>
      <c r="H19" s="345"/>
      <c r="I19" s="345"/>
      <c r="J19" s="345"/>
      <c r="K19" s="345"/>
      <c r="L19" s="346"/>
    </row>
    <row r="20" spans="1:12" ht="34.75" customHeight="1" thickBot="1">
      <c r="A20" s="347" t="s">
        <v>545</v>
      </c>
      <c r="B20" s="819" t="s">
        <v>98</v>
      </c>
      <c r="C20" s="819"/>
      <c r="D20" s="820"/>
      <c r="E20" s="348"/>
      <c r="F20" s="348"/>
      <c r="G20" s="83"/>
      <c r="H20" s="349" t="s">
        <v>157</v>
      </c>
      <c r="I20" s="349" t="s">
        <v>157</v>
      </c>
      <c r="J20" s="349" t="s">
        <v>157</v>
      </c>
      <c r="K20" s="349" t="s">
        <v>157</v>
      </c>
      <c r="L20" s="350" t="s">
        <v>99</v>
      </c>
    </row>
    <row r="21" spans="1:12" ht="15.05" customHeight="1" thickBot="1">
      <c r="A21" s="84">
        <v>611</v>
      </c>
      <c r="B21" s="786" t="s">
        <v>100</v>
      </c>
      <c r="C21" s="787"/>
      <c r="D21" s="788"/>
      <c r="E21" s="85">
        <f>E22+E26</f>
        <v>600</v>
      </c>
      <c r="F21" s="86">
        <f>$E$11</f>
        <v>0.3</v>
      </c>
      <c r="G21" s="87"/>
      <c r="H21" s="85">
        <f>H22+H26</f>
        <v>174.75728155339806</v>
      </c>
      <c r="I21" s="85">
        <f>I22+I26</f>
        <v>180</v>
      </c>
      <c r="J21" s="85">
        <f>J22+J26</f>
        <v>185.4</v>
      </c>
      <c r="K21" s="85">
        <f>K22+K26</f>
        <v>190.96200000000002</v>
      </c>
      <c r="L21" s="351"/>
    </row>
    <row r="22" spans="1:12" ht="15.05" customHeight="1" outlineLevel="1" thickBot="1">
      <c r="A22" s="352">
        <v>6110</v>
      </c>
      <c r="B22" s="802" t="s">
        <v>101</v>
      </c>
      <c r="C22" s="802"/>
      <c r="D22" s="803"/>
      <c r="E22" s="88">
        <f>SUM(E23:E25)</f>
        <v>300</v>
      </c>
      <c r="F22" s="86">
        <f t="shared" ref="F22:F85" si="0">$E$11</f>
        <v>0.3</v>
      </c>
      <c r="G22" s="89"/>
      <c r="H22" s="88">
        <f>SUM(H23:H25)</f>
        <v>87.378640776699029</v>
      </c>
      <c r="I22" s="88">
        <f>SUM(I23:I25)</f>
        <v>90</v>
      </c>
      <c r="J22" s="88">
        <f>SUM(J23:J25)</f>
        <v>92.7</v>
      </c>
      <c r="K22" s="88">
        <f>SUM(K23:K25)</f>
        <v>95.481000000000009</v>
      </c>
      <c r="L22" s="353"/>
    </row>
    <row r="23" spans="1:12" ht="15.05" customHeight="1" outlineLevel="1" thickBot="1">
      <c r="A23" s="354">
        <v>6111</v>
      </c>
      <c r="B23" s="800" t="s">
        <v>102</v>
      </c>
      <c r="C23" s="784"/>
      <c r="D23" s="785"/>
      <c r="E23" s="355">
        <v>100</v>
      </c>
      <c r="F23" s="86">
        <f t="shared" si="0"/>
        <v>0.3</v>
      </c>
      <c r="G23" s="90"/>
      <c r="H23" s="356">
        <f>I23/(1+H$15)</f>
        <v>29.126213592233007</v>
      </c>
      <c r="I23" s="356">
        <f>F23*E23</f>
        <v>30</v>
      </c>
      <c r="J23" s="356">
        <f t="shared" ref="J23:K25" si="1">I23*(1+J$15)</f>
        <v>30.900000000000002</v>
      </c>
      <c r="K23" s="356">
        <f t="shared" si="1"/>
        <v>31.827000000000002</v>
      </c>
      <c r="L23" s="353"/>
    </row>
    <row r="24" spans="1:12" ht="15.05" customHeight="1" outlineLevel="1" thickBot="1">
      <c r="A24" s="354">
        <v>6112</v>
      </c>
      <c r="B24" s="800" t="s">
        <v>103</v>
      </c>
      <c r="C24" s="784"/>
      <c r="D24" s="785"/>
      <c r="E24" s="355">
        <v>100</v>
      </c>
      <c r="F24" s="86">
        <f t="shared" si="0"/>
        <v>0.3</v>
      </c>
      <c r="G24" s="90"/>
      <c r="H24" s="356">
        <f>I24/(1+H$15)</f>
        <v>29.126213592233007</v>
      </c>
      <c r="I24" s="356">
        <f t="shared" ref="I24:I25" si="2">F24*E24</f>
        <v>30</v>
      </c>
      <c r="J24" s="356">
        <f t="shared" si="1"/>
        <v>30.900000000000002</v>
      </c>
      <c r="K24" s="356">
        <f t="shared" si="1"/>
        <v>31.827000000000002</v>
      </c>
      <c r="L24" s="353"/>
    </row>
    <row r="25" spans="1:12" ht="15.05" customHeight="1" outlineLevel="1" thickBot="1">
      <c r="A25" s="354">
        <v>6113</v>
      </c>
      <c r="B25" s="800" t="s">
        <v>104</v>
      </c>
      <c r="C25" s="784"/>
      <c r="D25" s="785"/>
      <c r="E25" s="355">
        <v>100</v>
      </c>
      <c r="F25" s="86">
        <f t="shared" si="0"/>
        <v>0.3</v>
      </c>
      <c r="G25" s="90"/>
      <c r="H25" s="356">
        <f t="shared" ref="H25:I56" si="3">I25/(1+H$15)</f>
        <v>29.126213592233007</v>
      </c>
      <c r="I25" s="356">
        <f t="shared" si="2"/>
        <v>30</v>
      </c>
      <c r="J25" s="356">
        <f t="shared" si="1"/>
        <v>30.900000000000002</v>
      </c>
      <c r="K25" s="356">
        <f t="shared" si="1"/>
        <v>31.827000000000002</v>
      </c>
      <c r="L25" s="353"/>
    </row>
    <row r="26" spans="1:12" ht="15.05" customHeight="1" outlineLevel="1" thickBot="1">
      <c r="A26" s="357"/>
      <c r="B26" s="799" t="s">
        <v>105</v>
      </c>
      <c r="C26" s="808"/>
      <c r="D26" s="808"/>
      <c r="E26" s="88">
        <f>SUM(E27:E29)</f>
        <v>300</v>
      </c>
      <c r="F26" s="86">
        <f t="shared" si="0"/>
        <v>0.3</v>
      </c>
      <c r="G26" s="91"/>
      <c r="H26" s="88">
        <f>SUM(H27:H29)</f>
        <v>87.378640776699029</v>
      </c>
      <c r="I26" s="88">
        <f>SUM(I27:I29)</f>
        <v>90</v>
      </c>
      <c r="J26" s="88">
        <f>SUM(J27:J29)</f>
        <v>92.7</v>
      </c>
      <c r="K26" s="88">
        <f>SUM(K27:K29)</f>
        <v>95.481000000000009</v>
      </c>
      <c r="L26" s="353"/>
    </row>
    <row r="27" spans="1:12" ht="15.05" customHeight="1" outlineLevel="1" thickBot="1">
      <c r="A27" s="354">
        <v>6116</v>
      </c>
      <c r="B27" s="800" t="s">
        <v>106</v>
      </c>
      <c r="C27" s="784"/>
      <c r="D27" s="785"/>
      <c r="E27" s="355">
        <v>100</v>
      </c>
      <c r="F27" s="86">
        <f t="shared" si="0"/>
        <v>0.3</v>
      </c>
      <c r="G27" s="90"/>
      <c r="H27" s="356">
        <f>I27/(1+H$15)</f>
        <v>29.126213592233007</v>
      </c>
      <c r="I27" s="356">
        <f>F27*E27</f>
        <v>30</v>
      </c>
      <c r="J27" s="356">
        <f t="shared" ref="J27:K29" si="4">I27*(1+J$15)</f>
        <v>30.900000000000002</v>
      </c>
      <c r="K27" s="356">
        <f t="shared" si="4"/>
        <v>31.827000000000002</v>
      </c>
      <c r="L27" s="353"/>
    </row>
    <row r="28" spans="1:12" ht="15.05" customHeight="1" outlineLevel="1" thickBot="1">
      <c r="A28" s="354">
        <v>6116</v>
      </c>
      <c r="B28" s="800" t="s">
        <v>107</v>
      </c>
      <c r="C28" s="784"/>
      <c r="D28" s="785"/>
      <c r="E28" s="355">
        <v>100</v>
      </c>
      <c r="F28" s="86">
        <f t="shared" si="0"/>
        <v>0.3</v>
      </c>
      <c r="G28" s="90"/>
      <c r="H28" s="356">
        <f t="shared" si="3"/>
        <v>29.126213592233007</v>
      </c>
      <c r="I28" s="356">
        <f t="shared" ref="I28:I29" si="5">F28*E28</f>
        <v>30</v>
      </c>
      <c r="J28" s="356">
        <f t="shared" si="4"/>
        <v>30.900000000000002</v>
      </c>
      <c r="K28" s="356">
        <f t="shared" si="4"/>
        <v>31.827000000000002</v>
      </c>
      <c r="L28" s="353"/>
    </row>
    <row r="29" spans="1:12" ht="15.05" customHeight="1" outlineLevel="1" thickBot="1">
      <c r="A29" s="354">
        <v>6116</v>
      </c>
      <c r="B29" s="800" t="s">
        <v>104</v>
      </c>
      <c r="C29" s="784"/>
      <c r="D29" s="785"/>
      <c r="E29" s="355">
        <v>100</v>
      </c>
      <c r="F29" s="86">
        <f t="shared" si="0"/>
        <v>0.3</v>
      </c>
      <c r="G29" s="90"/>
      <c r="H29" s="356">
        <f t="shared" si="3"/>
        <v>29.126213592233007</v>
      </c>
      <c r="I29" s="356">
        <f t="shared" si="5"/>
        <v>30</v>
      </c>
      <c r="J29" s="356">
        <f t="shared" si="4"/>
        <v>30.900000000000002</v>
      </c>
      <c r="K29" s="356">
        <f t="shared" si="4"/>
        <v>31.827000000000002</v>
      </c>
      <c r="L29" s="353"/>
    </row>
    <row r="30" spans="1:12" ht="15.05" customHeight="1" thickBot="1">
      <c r="A30" s="84">
        <v>612</v>
      </c>
      <c r="B30" s="786" t="s">
        <v>108</v>
      </c>
      <c r="C30" s="787"/>
      <c r="D30" s="788"/>
      <c r="E30" s="85">
        <f>SUM(E31:E35,E36)</f>
        <v>800</v>
      </c>
      <c r="F30" s="86">
        <f t="shared" si="0"/>
        <v>0.3</v>
      </c>
      <c r="G30" s="87"/>
      <c r="H30" s="85">
        <f ca="1">SUM(H31:H35,H36)</f>
        <v>227.8132612771127</v>
      </c>
      <c r="I30" s="85">
        <f ca="1">SUM(I31:I35,I36)</f>
        <v>234.64765911542611</v>
      </c>
      <c r="J30" s="85">
        <f ca="1">SUM(J31:J35,J36)</f>
        <v>241.68708888888889</v>
      </c>
      <c r="K30" s="85">
        <f ca="1">SUM(K31:K35,K36)</f>
        <v>248.93770155555558</v>
      </c>
      <c r="L30" s="351"/>
    </row>
    <row r="31" spans="1:12" ht="15.05" customHeight="1" outlineLevel="1" thickBot="1">
      <c r="A31" s="358">
        <v>6120</v>
      </c>
      <c r="B31" s="784" t="s">
        <v>109</v>
      </c>
      <c r="C31" s="784"/>
      <c r="D31" s="785"/>
      <c r="E31" s="355">
        <v>100</v>
      </c>
      <c r="F31" s="86">
        <f t="shared" si="0"/>
        <v>0.3</v>
      </c>
      <c r="G31" s="90"/>
      <c r="H31" s="356">
        <f t="shared" si="3"/>
        <v>29.126213592233007</v>
      </c>
      <c r="I31" s="356">
        <f>F31*E31</f>
        <v>30</v>
      </c>
      <c r="J31" s="356">
        <f t="shared" ref="J31:K35" si="6">I31*(1+J$15)</f>
        <v>30.900000000000002</v>
      </c>
      <c r="K31" s="356">
        <f t="shared" si="6"/>
        <v>31.827000000000002</v>
      </c>
      <c r="L31" s="353"/>
    </row>
    <row r="32" spans="1:12" ht="15.05" customHeight="1" outlineLevel="1" thickBot="1">
      <c r="A32" s="358">
        <v>6121</v>
      </c>
      <c r="B32" s="785" t="s">
        <v>110</v>
      </c>
      <c r="C32" s="796"/>
      <c r="D32" s="796"/>
      <c r="E32" s="355">
        <v>100</v>
      </c>
      <c r="F32" s="86">
        <f t="shared" si="0"/>
        <v>0.3</v>
      </c>
      <c r="G32" s="90"/>
      <c r="H32" s="356">
        <f t="shared" si="3"/>
        <v>29.126213592233007</v>
      </c>
      <c r="I32" s="356">
        <f t="shared" ref="I32:I35" si="7">F32*E32</f>
        <v>30</v>
      </c>
      <c r="J32" s="356">
        <f t="shared" si="6"/>
        <v>30.900000000000002</v>
      </c>
      <c r="K32" s="356">
        <f t="shared" si="6"/>
        <v>31.827000000000002</v>
      </c>
      <c r="L32" s="353"/>
    </row>
    <row r="33" spans="1:12" ht="15.05" customHeight="1" outlineLevel="1" thickBot="1">
      <c r="A33" s="358">
        <v>6122</v>
      </c>
      <c r="B33" s="784" t="s">
        <v>111</v>
      </c>
      <c r="C33" s="784"/>
      <c r="D33" s="785"/>
      <c r="E33" s="355">
        <v>100</v>
      </c>
      <c r="F33" s="86">
        <f t="shared" si="0"/>
        <v>0.3</v>
      </c>
      <c r="G33" s="90"/>
      <c r="H33" s="356">
        <f t="shared" si="3"/>
        <v>29.126213592233007</v>
      </c>
      <c r="I33" s="356">
        <f t="shared" si="7"/>
        <v>30</v>
      </c>
      <c r="J33" s="356">
        <f t="shared" si="6"/>
        <v>30.900000000000002</v>
      </c>
      <c r="K33" s="356">
        <f t="shared" si="6"/>
        <v>31.827000000000002</v>
      </c>
      <c r="L33" s="353"/>
    </row>
    <row r="34" spans="1:12" ht="15.05" customHeight="1" outlineLevel="1" thickBot="1">
      <c r="A34" s="358">
        <v>6123</v>
      </c>
      <c r="B34" s="784" t="s">
        <v>112</v>
      </c>
      <c r="C34" s="784"/>
      <c r="D34" s="785"/>
      <c r="E34" s="355">
        <v>100</v>
      </c>
      <c r="F34" s="86">
        <f t="shared" si="0"/>
        <v>0.3</v>
      </c>
      <c r="G34" s="90"/>
      <c r="H34" s="356">
        <f t="shared" si="3"/>
        <v>29.126213592233007</v>
      </c>
      <c r="I34" s="356">
        <f t="shared" si="7"/>
        <v>30</v>
      </c>
      <c r="J34" s="356">
        <f t="shared" si="6"/>
        <v>30.900000000000002</v>
      </c>
      <c r="K34" s="356">
        <f t="shared" si="6"/>
        <v>31.827000000000002</v>
      </c>
      <c r="L34" s="353"/>
    </row>
    <row r="35" spans="1:12" ht="15.05" customHeight="1" outlineLevel="1" thickBot="1">
      <c r="A35" s="358">
        <v>6124</v>
      </c>
      <c r="B35" s="784" t="s">
        <v>113</v>
      </c>
      <c r="C35" s="784"/>
      <c r="D35" s="785"/>
      <c r="E35" s="355">
        <v>100</v>
      </c>
      <c r="F35" s="86">
        <f t="shared" si="0"/>
        <v>0.3</v>
      </c>
      <c r="G35" s="90"/>
      <c r="H35" s="356">
        <f t="shared" si="3"/>
        <v>29.126213592233007</v>
      </c>
      <c r="I35" s="356">
        <f t="shared" si="7"/>
        <v>30</v>
      </c>
      <c r="J35" s="356">
        <f t="shared" si="6"/>
        <v>30.900000000000002</v>
      </c>
      <c r="K35" s="356">
        <f t="shared" si="6"/>
        <v>31.827000000000002</v>
      </c>
      <c r="L35" s="353"/>
    </row>
    <row r="36" spans="1:12" ht="15.05" customHeight="1" outlineLevel="1" thickBot="1">
      <c r="A36" s="359"/>
      <c r="B36" s="802" t="s">
        <v>114</v>
      </c>
      <c r="C36" s="802"/>
      <c r="D36" s="803"/>
      <c r="E36" s="88">
        <f>SUM(E37:E40)</f>
        <v>300</v>
      </c>
      <c r="F36" s="86">
        <f t="shared" si="0"/>
        <v>0.3</v>
      </c>
      <c r="G36" s="89"/>
      <c r="H36" s="88">
        <f ca="1">SUM(H37:H40)</f>
        <v>82.182193315947671</v>
      </c>
      <c r="I36" s="88">
        <f ca="1">SUM(I37:I40)</f>
        <v>84.647659115426109</v>
      </c>
      <c r="J36" s="88">
        <f ca="1">SUM(J37:J40)</f>
        <v>87.187088888888894</v>
      </c>
      <c r="K36" s="88">
        <f ca="1">SUM(K37:K40)</f>
        <v>89.802701555555558</v>
      </c>
      <c r="L36" s="353"/>
    </row>
    <row r="37" spans="1:12" ht="15.05" customHeight="1" outlineLevel="1" thickBot="1">
      <c r="A37" s="358">
        <v>6125</v>
      </c>
      <c r="B37" s="784" t="s">
        <v>193</v>
      </c>
      <c r="C37" s="784"/>
      <c r="D37" s="785"/>
      <c r="E37" s="355">
        <v>100</v>
      </c>
      <c r="F37" s="86">
        <f t="shared" si="0"/>
        <v>0.3</v>
      </c>
      <c r="G37" s="90"/>
      <c r="H37" s="356">
        <f t="shared" si="3"/>
        <v>29.126213592233007</v>
      </c>
      <c r="I37" s="356">
        <f>F37*E37</f>
        <v>30</v>
      </c>
      <c r="J37" s="356">
        <f t="shared" ref="J37:K40" si="8">I37*(1+J$15)</f>
        <v>30.900000000000002</v>
      </c>
      <c r="K37" s="356">
        <f t="shared" si="8"/>
        <v>31.827000000000002</v>
      </c>
      <c r="L37" s="353"/>
    </row>
    <row r="38" spans="1:12" ht="15.05" customHeight="1" outlineLevel="1" thickBot="1">
      <c r="A38" s="358">
        <v>6126</v>
      </c>
      <c r="B38" s="784"/>
      <c r="C38" s="784"/>
      <c r="D38" s="785"/>
      <c r="E38" s="355">
        <v>100</v>
      </c>
      <c r="F38" s="86">
        <f t="shared" si="0"/>
        <v>0.3</v>
      </c>
      <c r="G38" s="90"/>
      <c r="H38" s="356">
        <f t="shared" si="3"/>
        <v>29.126213592233007</v>
      </c>
      <c r="I38" s="356">
        <f t="shared" ref="I38:I40" si="9">F38*E38</f>
        <v>30</v>
      </c>
      <c r="J38" s="356">
        <f t="shared" si="8"/>
        <v>30.900000000000002</v>
      </c>
      <c r="K38" s="356">
        <f t="shared" si="8"/>
        <v>31.827000000000002</v>
      </c>
      <c r="L38" s="353"/>
    </row>
    <row r="39" spans="1:12" ht="15.05" customHeight="1" outlineLevel="1" thickBot="1">
      <c r="A39" s="358">
        <v>6127</v>
      </c>
      <c r="B39" s="784" t="s">
        <v>590</v>
      </c>
      <c r="C39" s="784"/>
      <c r="D39" s="785"/>
      <c r="E39" s="92"/>
      <c r="F39" s="93"/>
      <c r="G39" s="90"/>
      <c r="H39" s="356">
        <f t="shared" ca="1" si="3"/>
        <v>-5.1964474607513544</v>
      </c>
      <c r="I39" s="356">
        <f t="shared" ca="1" si="3"/>
        <v>-5.3523408845738949</v>
      </c>
      <c r="J39" s="88">
        <f ca="1">'5. RESUME GAMME - CACV'!U69*'5. RESUME GAMME - CACV'!U60*(-1)</f>
        <v>-5.5129111111111122</v>
      </c>
      <c r="K39" s="356">
        <f t="shared" ca="1" si="8"/>
        <v>-5.6782984444444455</v>
      </c>
      <c r="L39" s="351" t="s">
        <v>591</v>
      </c>
    </row>
    <row r="40" spans="1:12" ht="15.05" customHeight="1" outlineLevel="1" thickBot="1">
      <c r="A40" s="358">
        <v>6128</v>
      </c>
      <c r="B40" s="804" t="s">
        <v>115</v>
      </c>
      <c r="C40" s="804"/>
      <c r="D40" s="805"/>
      <c r="E40" s="355">
        <v>100</v>
      </c>
      <c r="F40" s="86">
        <f t="shared" si="0"/>
        <v>0.3</v>
      </c>
      <c r="G40" s="94"/>
      <c r="H40" s="356">
        <f t="shared" si="3"/>
        <v>29.126213592233007</v>
      </c>
      <c r="I40" s="356">
        <f t="shared" si="9"/>
        <v>30</v>
      </c>
      <c r="J40" s="356">
        <f t="shared" si="8"/>
        <v>30.900000000000002</v>
      </c>
      <c r="K40" s="356">
        <f t="shared" si="8"/>
        <v>31.827000000000002</v>
      </c>
      <c r="L40" s="353"/>
    </row>
    <row r="41" spans="1:12" ht="15.05" customHeight="1" thickBot="1">
      <c r="A41" s="84">
        <v>613</v>
      </c>
      <c r="B41" s="786" t="s">
        <v>116</v>
      </c>
      <c r="C41" s="787"/>
      <c r="D41" s="788"/>
      <c r="E41" s="85">
        <f>SUM(E43,E42,E46)</f>
        <v>600</v>
      </c>
      <c r="F41" s="86">
        <f t="shared" si="0"/>
        <v>0.3</v>
      </c>
      <c r="G41" s="87"/>
      <c r="H41" s="85">
        <f>SUM(H43,H42,H46)</f>
        <v>174.75728155339806</v>
      </c>
      <c r="I41" s="85">
        <f>SUM(I43,I42,I46)</f>
        <v>180</v>
      </c>
      <c r="J41" s="85">
        <f>SUM(J43,J42,J46)</f>
        <v>185.4</v>
      </c>
      <c r="K41" s="85">
        <f>SUM(K43,K42,K46)</f>
        <v>190.96200000000002</v>
      </c>
      <c r="L41" s="351"/>
    </row>
    <row r="42" spans="1:12" ht="15.05" customHeight="1" outlineLevel="1" thickBot="1">
      <c r="A42" s="354">
        <v>6130</v>
      </c>
      <c r="B42" s="806" t="s">
        <v>117</v>
      </c>
      <c r="C42" s="806"/>
      <c r="D42" s="807"/>
      <c r="E42" s="355">
        <v>100</v>
      </c>
      <c r="F42" s="86">
        <f t="shared" si="0"/>
        <v>0.3</v>
      </c>
      <c r="G42" s="95"/>
      <c r="H42" s="356">
        <f t="shared" si="3"/>
        <v>29.126213592233007</v>
      </c>
      <c r="I42" s="356">
        <f>F42*E42</f>
        <v>30</v>
      </c>
      <c r="J42" s="356">
        <f>I42*(1+J$15)</f>
        <v>30.900000000000002</v>
      </c>
      <c r="K42" s="356">
        <f>J42*(1+K$15)</f>
        <v>31.827000000000002</v>
      </c>
      <c r="L42" s="353"/>
    </row>
    <row r="43" spans="1:12" ht="15.05" customHeight="1" outlineLevel="1" thickBot="1">
      <c r="A43" s="335"/>
      <c r="B43" s="799" t="s">
        <v>118</v>
      </c>
      <c r="C43" s="808"/>
      <c r="D43" s="808"/>
      <c r="E43" s="96">
        <f>SUM(E44:E45)</f>
        <v>200</v>
      </c>
      <c r="F43" s="86">
        <f t="shared" si="0"/>
        <v>0.3</v>
      </c>
      <c r="G43" s="91"/>
      <c r="H43" s="96">
        <f>SUM(H44:H45)</f>
        <v>58.252427184466015</v>
      </c>
      <c r="I43" s="96">
        <f>SUM(I44:I45)</f>
        <v>60</v>
      </c>
      <c r="J43" s="96">
        <f>SUM(J44:J45)</f>
        <v>61.800000000000004</v>
      </c>
      <c r="K43" s="96">
        <f>SUM(K44:K45)</f>
        <v>63.654000000000003</v>
      </c>
      <c r="L43" s="353"/>
    </row>
    <row r="44" spans="1:12" ht="15.05" customHeight="1" outlineLevel="1" thickBot="1">
      <c r="A44" s="354">
        <v>61320</v>
      </c>
      <c r="B44" s="800" t="s">
        <v>119</v>
      </c>
      <c r="C44" s="800"/>
      <c r="D44" s="801"/>
      <c r="E44" s="355">
        <v>100</v>
      </c>
      <c r="F44" s="86">
        <f t="shared" si="0"/>
        <v>0.3</v>
      </c>
      <c r="G44" s="97"/>
      <c r="H44" s="356">
        <f t="shared" si="3"/>
        <v>29.126213592233007</v>
      </c>
      <c r="I44" s="356">
        <f>F44*E44</f>
        <v>30</v>
      </c>
      <c r="J44" s="356">
        <f>I44*(1+J$15)</f>
        <v>30.900000000000002</v>
      </c>
      <c r="K44" s="356">
        <f>J44*(1+K$15)</f>
        <v>31.827000000000002</v>
      </c>
      <c r="L44" s="353"/>
    </row>
    <row r="45" spans="1:12" ht="15.05" customHeight="1" outlineLevel="1" thickBot="1">
      <c r="A45" s="354">
        <v>61325</v>
      </c>
      <c r="B45" s="800" t="s">
        <v>120</v>
      </c>
      <c r="C45" s="800"/>
      <c r="D45" s="801"/>
      <c r="E45" s="355">
        <v>100</v>
      </c>
      <c r="F45" s="86">
        <f t="shared" si="0"/>
        <v>0.3</v>
      </c>
      <c r="G45" s="97"/>
      <c r="H45" s="356">
        <f t="shared" si="3"/>
        <v>29.126213592233007</v>
      </c>
      <c r="I45" s="356">
        <f>F45*E45</f>
        <v>30</v>
      </c>
      <c r="J45" s="356">
        <f>I45*(1+J$15)</f>
        <v>30.900000000000002</v>
      </c>
      <c r="K45" s="356">
        <f>J45*(1+K$15)</f>
        <v>31.827000000000002</v>
      </c>
      <c r="L45" s="353"/>
    </row>
    <row r="46" spans="1:12" ht="15.05" customHeight="1" outlineLevel="1" thickBot="1">
      <c r="A46" s="335"/>
      <c r="B46" s="798" t="s">
        <v>121</v>
      </c>
      <c r="C46" s="798"/>
      <c r="D46" s="799"/>
      <c r="E46" s="96">
        <f>SUM(E47:E49)</f>
        <v>300</v>
      </c>
      <c r="F46" s="86">
        <f t="shared" si="0"/>
        <v>0.3</v>
      </c>
      <c r="G46" s="91"/>
      <c r="H46" s="96">
        <f>SUM(H47:H49)</f>
        <v>87.378640776699029</v>
      </c>
      <c r="I46" s="96">
        <f>SUM(I47:I49)</f>
        <v>90</v>
      </c>
      <c r="J46" s="96">
        <f>SUM(J47:J49)</f>
        <v>92.7</v>
      </c>
      <c r="K46" s="96">
        <f>SUM(K47:K49)</f>
        <v>95.481000000000009</v>
      </c>
      <c r="L46" s="353"/>
    </row>
    <row r="47" spans="1:12" ht="15.05" customHeight="1" outlineLevel="1" thickBot="1">
      <c r="A47" s="354">
        <v>61330</v>
      </c>
      <c r="B47" s="800" t="s">
        <v>122</v>
      </c>
      <c r="C47" s="800"/>
      <c r="D47" s="801"/>
      <c r="E47" s="355">
        <v>100</v>
      </c>
      <c r="F47" s="86">
        <f t="shared" si="0"/>
        <v>0.3</v>
      </c>
      <c r="G47" s="97"/>
      <c r="H47" s="356">
        <f t="shared" si="3"/>
        <v>29.126213592233007</v>
      </c>
      <c r="I47" s="356">
        <f>F47*E47</f>
        <v>30</v>
      </c>
      <c r="J47" s="356">
        <f>I47*(1+J$15)</f>
        <v>30.900000000000002</v>
      </c>
      <c r="K47" s="356">
        <f t="shared" ref="K47:K49" si="10">J47*(1+K$15)</f>
        <v>31.827000000000002</v>
      </c>
      <c r="L47" s="353"/>
    </row>
    <row r="48" spans="1:12" ht="15.05" customHeight="1" outlineLevel="1" thickBot="1">
      <c r="A48" s="358">
        <v>61331</v>
      </c>
      <c r="B48" s="784" t="s">
        <v>123</v>
      </c>
      <c r="C48" s="784"/>
      <c r="D48" s="785"/>
      <c r="E48" s="355">
        <v>100</v>
      </c>
      <c r="F48" s="86">
        <f t="shared" si="0"/>
        <v>0.3</v>
      </c>
      <c r="G48" s="90"/>
      <c r="H48" s="356">
        <f t="shared" si="3"/>
        <v>29.126213592233007</v>
      </c>
      <c r="I48" s="356">
        <f>F48*E48</f>
        <v>30</v>
      </c>
      <c r="J48" s="356">
        <f>I48*(1+J$15)</f>
        <v>30.900000000000002</v>
      </c>
      <c r="K48" s="356">
        <f t="shared" si="10"/>
        <v>31.827000000000002</v>
      </c>
      <c r="L48" s="353"/>
    </row>
    <row r="49" spans="1:12" ht="15.05" customHeight="1" outlineLevel="1" thickBot="1">
      <c r="A49" s="358">
        <v>61336</v>
      </c>
      <c r="B49" s="784" t="s">
        <v>124</v>
      </c>
      <c r="C49" s="784"/>
      <c r="D49" s="785"/>
      <c r="E49" s="355">
        <v>100</v>
      </c>
      <c r="F49" s="86">
        <f t="shared" si="0"/>
        <v>0.3</v>
      </c>
      <c r="G49" s="90"/>
      <c r="H49" s="356">
        <f t="shared" si="3"/>
        <v>29.126213592233007</v>
      </c>
      <c r="I49" s="356">
        <f>F49*E49</f>
        <v>30</v>
      </c>
      <c r="J49" s="356">
        <f>I49*(1+J$15)</f>
        <v>30.900000000000002</v>
      </c>
      <c r="K49" s="356">
        <f t="shared" si="10"/>
        <v>31.827000000000002</v>
      </c>
      <c r="L49" s="353"/>
    </row>
    <row r="50" spans="1:12" ht="15.05" customHeight="1" thickBot="1">
      <c r="A50" s="84">
        <v>614</v>
      </c>
      <c r="B50" s="786" t="s">
        <v>125</v>
      </c>
      <c r="C50" s="787"/>
      <c r="D50" s="788"/>
      <c r="E50" s="85">
        <f>SUM(E51:E55)</f>
        <v>500</v>
      </c>
      <c r="F50" s="86">
        <f t="shared" si="0"/>
        <v>0.3</v>
      </c>
      <c r="G50" s="87"/>
      <c r="H50" s="85">
        <f>SUM(H51:H55)</f>
        <v>145.63106796116503</v>
      </c>
      <c r="I50" s="85">
        <f>SUM(I51:I55)</f>
        <v>150</v>
      </c>
      <c r="J50" s="85">
        <f>SUM(J51:J55)</f>
        <v>154.5</v>
      </c>
      <c r="K50" s="85">
        <f>SUM(K51:K55)</f>
        <v>159.13500000000002</v>
      </c>
      <c r="L50" s="351"/>
    </row>
    <row r="51" spans="1:12" ht="15.05" customHeight="1" outlineLevel="1" thickBot="1">
      <c r="A51" s="358">
        <v>6140</v>
      </c>
      <c r="B51" s="784" t="s">
        <v>126</v>
      </c>
      <c r="C51" s="784"/>
      <c r="D51" s="785"/>
      <c r="E51" s="355">
        <v>100</v>
      </c>
      <c r="F51" s="86">
        <f t="shared" si="0"/>
        <v>0.3</v>
      </c>
      <c r="G51" s="90"/>
      <c r="H51" s="356">
        <f t="shared" si="3"/>
        <v>29.126213592233007</v>
      </c>
      <c r="I51" s="356">
        <f t="shared" ref="I51:I56" si="11">F51*E51</f>
        <v>30</v>
      </c>
      <c r="J51" s="356">
        <f t="shared" ref="J51:J56" si="12">I51*(1+J$15)</f>
        <v>30.900000000000002</v>
      </c>
      <c r="K51" s="356">
        <f t="shared" ref="K51:K56" si="13">J51*(1+K$15)</f>
        <v>31.827000000000002</v>
      </c>
      <c r="L51" s="353"/>
    </row>
    <row r="52" spans="1:12" ht="15.05" customHeight="1" outlineLevel="1" thickBot="1">
      <c r="A52" s="360">
        <v>6144</v>
      </c>
      <c r="B52" s="785" t="s">
        <v>104</v>
      </c>
      <c r="C52" s="796"/>
      <c r="D52" s="796"/>
      <c r="E52" s="355">
        <v>100</v>
      </c>
      <c r="F52" s="86">
        <f t="shared" si="0"/>
        <v>0.3</v>
      </c>
      <c r="G52" s="90"/>
      <c r="H52" s="356">
        <f t="shared" si="3"/>
        <v>29.126213592233007</v>
      </c>
      <c r="I52" s="356">
        <f t="shared" si="11"/>
        <v>30</v>
      </c>
      <c r="J52" s="356">
        <f t="shared" si="12"/>
        <v>30.900000000000002</v>
      </c>
      <c r="K52" s="356">
        <f t="shared" si="13"/>
        <v>31.827000000000002</v>
      </c>
      <c r="L52" s="353"/>
    </row>
    <row r="53" spans="1:12" ht="15.05" customHeight="1" outlineLevel="1" thickBot="1">
      <c r="A53" s="358">
        <v>6146</v>
      </c>
      <c r="B53" s="784" t="s">
        <v>127</v>
      </c>
      <c r="C53" s="784"/>
      <c r="D53" s="785"/>
      <c r="E53" s="355">
        <v>100</v>
      </c>
      <c r="F53" s="86">
        <f t="shared" si="0"/>
        <v>0.3</v>
      </c>
      <c r="G53" s="90"/>
      <c r="H53" s="356">
        <f t="shared" si="3"/>
        <v>29.126213592233007</v>
      </c>
      <c r="I53" s="356">
        <f t="shared" si="11"/>
        <v>30</v>
      </c>
      <c r="J53" s="356">
        <f t="shared" si="12"/>
        <v>30.900000000000002</v>
      </c>
      <c r="K53" s="356">
        <f t="shared" si="13"/>
        <v>31.827000000000002</v>
      </c>
      <c r="L53" s="353"/>
    </row>
    <row r="54" spans="1:12" ht="15.05" customHeight="1" outlineLevel="1" thickBot="1">
      <c r="A54" s="358">
        <v>6147</v>
      </c>
      <c r="B54" s="784" t="s">
        <v>128</v>
      </c>
      <c r="C54" s="784"/>
      <c r="D54" s="785"/>
      <c r="E54" s="355">
        <v>100</v>
      </c>
      <c r="F54" s="86">
        <f t="shared" si="0"/>
        <v>0.3</v>
      </c>
      <c r="G54" s="90"/>
      <c r="H54" s="356">
        <f t="shared" si="3"/>
        <v>29.126213592233007</v>
      </c>
      <c r="I54" s="356">
        <f t="shared" si="11"/>
        <v>30</v>
      </c>
      <c r="J54" s="356">
        <f t="shared" si="12"/>
        <v>30.900000000000002</v>
      </c>
      <c r="K54" s="356">
        <f t="shared" si="13"/>
        <v>31.827000000000002</v>
      </c>
      <c r="L54" s="353"/>
    </row>
    <row r="55" spans="1:12" ht="15.05" customHeight="1" outlineLevel="1" thickBot="1">
      <c r="A55" s="358">
        <v>6148</v>
      </c>
      <c r="B55" s="784" t="s">
        <v>129</v>
      </c>
      <c r="C55" s="784"/>
      <c r="D55" s="785"/>
      <c r="E55" s="355">
        <v>100</v>
      </c>
      <c r="F55" s="86">
        <f t="shared" si="0"/>
        <v>0.3</v>
      </c>
      <c r="G55" s="90"/>
      <c r="H55" s="356">
        <f t="shared" si="3"/>
        <v>29.126213592233007</v>
      </c>
      <c r="I55" s="356">
        <f t="shared" si="11"/>
        <v>30</v>
      </c>
      <c r="J55" s="356">
        <f t="shared" si="12"/>
        <v>30.900000000000002</v>
      </c>
      <c r="K55" s="356">
        <f t="shared" si="13"/>
        <v>31.827000000000002</v>
      </c>
      <c r="L55" s="353"/>
    </row>
    <row r="56" spans="1:12" ht="15.05" customHeight="1" thickBot="1">
      <c r="A56" s="84">
        <v>615</v>
      </c>
      <c r="B56" s="786" t="s">
        <v>130</v>
      </c>
      <c r="C56" s="787"/>
      <c r="D56" s="788"/>
      <c r="E56" s="355">
        <v>100</v>
      </c>
      <c r="F56" s="86">
        <f t="shared" si="0"/>
        <v>0.3</v>
      </c>
      <c r="G56" s="98"/>
      <c r="H56" s="356">
        <f t="shared" si="3"/>
        <v>29.126213592233007</v>
      </c>
      <c r="I56" s="356">
        <f t="shared" si="11"/>
        <v>30</v>
      </c>
      <c r="J56" s="356">
        <f t="shared" si="12"/>
        <v>30.900000000000002</v>
      </c>
      <c r="K56" s="356">
        <f t="shared" si="13"/>
        <v>31.827000000000002</v>
      </c>
      <c r="L56" s="353"/>
    </row>
    <row r="57" spans="1:12" ht="15.05" customHeight="1" thickBot="1">
      <c r="A57" s="84">
        <v>616</v>
      </c>
      <c r="B57" s="786" t="s">
        <v>131</v>
      </c>
      <c r="C57" s="787"/>
      <c r="D57" s="788"/>
      <c r="E57" s="85">
        <f>SUM(E58:E64,E65)</f>
        <v>800</v>
      </c>
      <c r="F57" s="86">
        <f t="shared" si="0"/>
        <v>0.3</v>
      </c>
      <c r="G57" s="87"/>
      <c r="H57" s="85">
        <f>SUM(H58:H64,H65)</f>
        <v>233.00970873786403</v>
      </c>
      <c r="I57" s="85">
        <f>SUM(I58:I64,I65)</f>
        <v>240</v>
      </c>
      <c r="J57" s="85">
        <f>SUM(J58:J64,J65)</f>
        <v>247.20000000000002</v>
      </c>
      <c r="K57" s="85">
        <f>SUM(K58:K64,K65)</f>
        <v>254.61600000000001</v>
      </c>
      <c r="L57" s="351"/>
    </row>
    <row r="58" spans="1:12" ht="15.05" customHeight="1" outlineLevel="1" thickBot="1">
      <c r="A58" s="360">
        <v>6160</v>
      </c>
      <c r="B58" s="785" t="s">
        <v>132</v>
      </c>
      <c r="C58" s="796"/>
      <c r="D58" s="796"/>
      <c r="E58" s="355">
        <v>100</v>
      </c>
      <c r="F58" s="86">
        <f t="shared" si="0"/>
        <v>0.3</v>
      </c>
      <c r="G58" s="90"/>
      <c r="H58" s="356">
        <f t="shared" ref="H58:H69" si="14">I58/(1+H$15)</f>
        <v>29.126213592233007</v>
      </c>
      <c r="I58" s="356">
        <f>F58*E58</f>
        <v>30</v>
      </c>
      <c r="J58" s="356">
        <f>I58*(1+J$15)</f>
        <v>30.900000000000002</v>
      </c>
      <c r="K58" s="356">
        <f>J58*(1+K$15)</f>
        <v>31.827000000000002</v>
      </c>
      <c r="L58" s="353"/>
    </row>
    <row r="59" spans="1:12" ht="15.05" customHeight="1" outlineLevel="1" thickBot="1">
      <c r="A59" s="358">
        <v>6162</v>
      </c>
      <c r="B59" s="784" t="s">
        <v>133</v>
      </c>
      <c r="C59" s="784"/>
      <c r="D59" s="785"/>
      <c r="E59" s="355">
        <v>100</v>
      </c>
      <c r="F59" s="86">
        <f t="shared" si="0"/>
        <v>0.3</v>
      </c>
      <c r="G59" s="90"/>
      <c r="H59" s="356">
        <f t="shared" si="14"/>
        <v>29.126213592233007</v>
      </c>
      <c r="I59" s="356">
        <f>F59*E59</f>
        <v>30</v>
      </c>
      <c r="J59" s="356">
        <f t="shared" ref="J59:J65" si="15">I59*(1+J$15)</f>
        <v>30.900000000000002</v>
      </c>
      <c r="K59" s="356">
        <f t="shared" ref="K59:K65" si="16">J59*(1+K$15)</f>
        <v>31.827000000000002</v>
      </c>
      <c r="L59" s="353"/>
    </row>
    <row r="60" spans="1:12" ht="15.05" customHeight="1" outlineLevel="1" thickBot="1">
      <c r="A60" s="358">
        <v>6163</v>
      </c>
      <c r="B60" s="785" t="s">
        <v>134</v>
      </c>
      <c r="C60" s="796"/>
      <c r="D60" s="796"/>
      <c r="E60" s="355">
        <v>100</v>
      </c>
      <c r="F60" s="86">
        <f t="shared" si="0"/>
        <v>0.3</v>
      </c>
      <c r="G60" s="90"/>
      <c r="H60" s="356">
        <f t="shared" si="14"/>
        <v>29.126213592233007</v>
      </c>
      <c r="I60" s="356">
        <f>F60*E60</f>
        <v>30</v>
      </c>
      <c r="J60" s="356">
        <f t="shared" si="15"/>
        <v>30.900000000000002</v>
      </c>
      <c r="K60" s="356">
        <f t="shared" si="16"/>
        <v>31.827000000000002</v>
      </c>
      <c r="L60" s="353"/>
    </row>
    <row r="61" spans="1:12" ht="15.05" customHeight="1" outlineLevel="1" thickBot="1">
      <c r="A61" s="358">
        <v>61621</v>
      </c>
      <c r="B61" s="784" t="s">
        <v>49</v>
      </c>
      <c r="C61" s="784"/>
      <c r="D61" s="785"/>
      <c r="E61" s="355">
        <v>100</v>
      </c>
      <c r="F61" s="86">
        <f t="shared" si="0"/>
        <v>0.3</v>
      </c>
      <c r="G61" s="90"/>
      <c r="H61" s="356">
        <f t="shared" si="14"/>
        <v>29.126213592233007</v>
      </c>
      <c r="I61" s="356">
        <f t="shared" ref="I61:I69" si="17">F61*E61</f>
        <v>30</v>
      </c>
      <c r="J61" s="356">
        <f t="shared" si="15"/>
        <v>30.900000000000002</v>
      </c>
      <c r="K61" s="356">
        <f t="shared" si="16"/>
        <v>31.827000000000002</v>
      </c>
      <c r="L61" s="353"/>
    </row>
    <row r="62" spans="1:12" ht="15.05" customHeight="1" outlineLevel="1" thickBot="1">
      <c r="A62" s="358">
        <v>61650</v>
      </c>
      <c r="B62" s="784" t="s">
        <v>135</v>
      </c>
      <c r="C62" s="784"/>
      <c r="D62" s="785"/>
      <c r="E62" s="355">
        <v>100</v>
      </c>
      <c r="F62" s="86">
        <f t="shared" si="0"/>
        <v>0.3</v>
      </c>
      <c r="G62" s="90"/>
      <c r="H62" s="356">
        <f t="shared" si="14"/>
        <v>29.126213592233007</v>
      </c>
      <c r="I62" s="356">
        <f t="shared" si="17"/>
        <v>30</v>
      </c>
      <c r="J62" s="356">
        <f t="shared" si="15"/>
        <v>30.900000000000002</v>
      </c>
      <c r="K62" s="356">
        <f t="shared" si="16"/>
        <v>31.827000000000002</v>
      </c>
      <c r="L62" s="353"/>
    </row>
    <row r="63" spans="1:12" ht="15.05" customHeight="1" outlineLevel="1" thickBot="1">
      <c r="A63" s="358">
        <v>61651</v>
      </c>
      <c r="B63" s="784" t="s">
        <v>136</v>
      </c>
      <c r="C63" s="784"/>
      <c r="D63" s="785"/>
      <c r="E63" s="355">
        <v>100</v>
      </c>
      <c r="F63" s="86">
        <f t="shared" si="0"/>
        <v>0.3</v>
      </c>
      <c r="G63" s="90"/>
      <c r="H63" s="356">
        <f t="shared" si="14"/>
        <v>29.126213592233007</v>
      </c>
      <c r="I63" s="356">
        <f t="shared" si="17"/>
        <v>30</v>
      </c>
      <c r="J63" s="356">
        <f t="shared" si="15"/>
        <v>30.900000000000002</v>
      </c>
      <c r="K63" s="356">
        <f t="shared" si="16"/>
        <v>31.827000000000002</v>
      </c>
      <c r="L63" s="353"/>
    </row>
    <row r="64" spans="1:12" ht="15.05" customHeight="1" outlineLevel="1" thickBot="1">
      <c r="A64" s="358">
        <v>61652</v>
      </c>
      <c r="B64" s="784" t="s">
        <v>137</v>
      </c>
      <c r="C64" s="784"/>
      <c r="D64" s="785"/>
      <c r="E64" s="355">
        <v>100</v>
      </c>
      <c r="F64" s="86">
        <f t="shared" si="0"/>
        <v>0.3</v>
      </c>
      <c r="G64" s="90"/>
      <c r="H64" s="356">
        <f t="shared" si="14"/>
        <v>29.126213592233007</v>
      </c>
      <c r="I64" s="356">
        <f t="shared" si="17"/>
        <v>30</v>
      </c>
      <c r="J64" s="356">
        <f t="shared" si="15"/>
        <v>30.900000000000002</v>
      </c>
      <c r="K64" s="356">
        <f t="shared" si="16"/>
        <v>31.827000000000002</v>
      </c>
      <c r="L64" s="353"/>
    </row>
    <row r="65" spans="1:12" ht="15.05" customHeight="1" outlineLevel="1" thickBot="1">
      <c r="A65" s="358">
        <v>61655</v>
      </c>
      <c r="B65" s="784" t="s">
        <v>138</v>
      </c>
      <c r="C65" s="784"/>
      <c r="D65" s="785"/>
      <c r="E65" s="355">
        <v>100</v>
      </c>
      <c r="F65" s="86">
        <f t="shared" si="0"/>
        <v>0.3</v>
      </c>
      <c r="G65" s="90"/>
      <c r="H65" s="356">
        <f t="shared" si="14"/>
        <v>29.126213592233007</v>
      </c>
      <c r="I65" s="356">
        <f t="shared" si="17"/>
        <v>30</v>
      </c>
      <c r="J65" s="356">
        <f t="shared" si="15"/>
        <v>30.900000000000002</v>
      </c>
      <c r="K65" s="356">
        <f t="shared" si="16"/>
        <v>31.827000000000002</v>
      </c>
      <c r="L65" s="353"/>
    </row>
    <row r="66" spans="1:12" ht="15.05" customHeight="1" thickBot="1">
      <c r="A66" s="84">
        <v>618</v>
      </c>
      <c r="B66" s="786" t="s">
        <v>139</v>
      </c>
      <c r="C66" s="787"/>
      <c r="D66" s="788"/>
      <c r="E66" s="85">
        <f>SUM(E67:E69)</f>
        <v>200</v>
      </c>
      <c r="F66" s="86">
        <f t="shared" si="0"/>
        <v>0.3</v>
      </c>
      <c r="G66" s="87"/>
      <c r="H66" s="85">
        <f>SUM(H67:H69)</f>
        <v>58.252427184466015</v>
      </c>
      <c r="I66" s="85">
        <f>SUM(I67:I69)</f>
        <v>60</v>
      </c>
      <c r="J66" s="85">
        <f>SUM(J67:J69)</f>
        <v>61.800000000000004</v>
      </c>
      <c r="K66" s="85">
        <f>SUM(K67:K69)</f>
        <v>63.654000000000003</v>
      </c>
      <c r="L66" s="351"/>
    </row>
    <row r="67" spans="1:12" ht="15.05" customHeight="1" outlineLevel="1" thickBot="1">
      <c r="A67" s="358">
        <v>6180</v>
      </c>
      <c r="B67" s="797" t="s">
        <v>140</v>
      </c>
      <c r="C67" s="784"/>
      <c r="D67" s="785"/>
      <c r="E67" s="99"/>
      <c r="F67" s="99"/>
      <c r="G67" s="90"/>
      <c r="H67" s="356">
        <f t="shared" si="14"/>
        <v>0</v>
      </c>
      <c r="I67" s="100">
        <f>'10. BESOIN RH mensuel'!C4+'10. BESOIN RH mensuel'!C5</f>
        <v>0</v>
      </c>
      <c r="J67" s="356">
        <f t="shared" ref="J67:K70" si="18">I67*(1+J$15)</f>
        <v>0</v>
      </c>
      <c r="K67" s="356">
        <f t="shared" si="18"/>
        <v>0</v>
      </c>
      <c r="L67" s="353"/>
    </row>
    <row r="68" spans="1:12" ht="15.05" customHeight="1" outlineLevel="1" thickBot="1">
      <c r="A68" s="360">
        <v>61812</v>
      </c>
      <c r="B68" s="785" t="s">
        <v>141</v>
      </c>
      <c r="C68" s="796"/>
      <c r="D68" s="796"/>
      <c r="E68" s="355">
        <v>100</v>
      </c>
      <c r="F68" s="86">
        <f t="shared" si="0"/>
        <v>0.3</v>
      </c>
      <c r="G68" s="90"/>
      <c r="H68" s="356">
        <f t="shared" si="14"/>
        <v>29.126213592233007</v>
      </c>
      <c r="I68" s="356">
        <f t="shared" si="17"/>
        <v>30</v>
      </c>
      <c r="J68" s="356">
        <f t="shared" si="18"/>
        <v>30.900000000000002</v>
      </c>
      <c r="K68" s="356">
        <f t="shared" si="18"/>
        <v>31.827000000000002</v>
      </c>
      <c r="L68" s="353"/>
    </row>
    <row r="69" spans="1:12" ht="15.05" customHeight="1" outlineLevel="1" thickBot="1">
      <c r="A69" s="360">
        <v>61814</v>
      </c>
      <c r="B69" s="785" t="s">
        <v>142</v>
      </c>
      <c r="C69" s="796"/>
      <c r="D69" s="796"/>
      <c r="E69" s="355">
        <v>100</v>
      </c>
      <c r="F69" s="86">
        <f t="shared" si="0"/>
        <v>0.3</v>
      </c>
      <c r="G69" s="90"/>
      <c r="H69" s="356">
        <f t="shared" si="14"/>
        <v>29.126213592233007</v>
      </c>
      <c r="I69" s="356">
        <f t="shared" si="17"/>
        <v>30</v>
      </c>
      <c r="J69" s="356">
        <f t="shared" si="18"/>
        <v>30.900000000000002</v>
      </c>
      <c r="K69" s="356">
        <f t="shared" si="18"/>
        <v>31.827000000000002</v>
      </c>
      <c r="L69" s="353"/>
    </row>
    <row r="70" spans="1:12" ht="15.05" customHeight="1" thickBot="1">
      <c r="A70" s="84">
        <v>62</v>
      </c>
      <c r="B70" s="786" t="s">
        <v>143</v>
      </c>
      <c r="C70" s="787"/>
      <c r="D70" s="788"/>
      <c r="E70" s="99"/>
      <c r="F70" s="101"/>
      <c r="G70" s="87"/>
      <c r="H70" s="85">
        <f>I70/(1+H$15)</f>
        <v>36893.203883495145</v>
      </c>
      <c r="I70" s="85">
        <f>'10. BESOIN RH mensuel'!C10</f>
        <v>38000</v>
      </c>
      <c r="J70" s="85">
        <f t="shared" si="18"/>
        <v>39140</v>
      </c>
      <c r="K70" s="85">
        <f t="shared" si="18"/>
        <v>40314.200000000004</v>
      </c>
      <c r="L70" s="351" t="s">
        <v>557</v>
      </c>
    </row>
    <row r="71" spans="1:12" ht="15.05" customHeight="1" thickBot="1">
      <c r="A71" s="84">
        <v>63</v>
      </c>
      <c r="B71" s="786" t="s">
        <v>144</v>
      </c>
      <c r="C71" s="787"/>
      <c r="D71" s="788"/>
      <c r="E71" s="99"/>
      <c r="F71" s="101"/>
      <c r="G71" s="87"/>
      <c r="H71" s="85">
        <f>'2. INVEST &amp; AMORT'!N42</f>
        <v>12390</v>
      </c>
      <c r="I71" s="85">
        <f>'2. INVEST &amp; AMORT'!O42</f>
        <v>10130</v>
      </c>
      <c r="J71" s="85">
        <f>'2. INVEST &amp; AMORT'!P42</f>
        <v>10130</v>
      </c>
      <c r="K71" s="85">
        <f>'2. INVEST &amp; AMORT'!Q42</f>
        <v>10130</v>
      </c>
      <c r="L71" s="351" t="s">
        <v>543</v>
      </c>
    </row>
    <row r="72" spans="1:12" ht="15.05" customHeight="1" thickBot="1">
      <c r="A72" s="84">
        <v>64</v>
      </c>
      <c r="B72" s="786" t="s">
        <v>145</v>
      </c>
      <c r="C72" s="787"/>
      <c r="D72" s="788"/>
      <c r="E72" s="85">
        <f t="shared" ref="E72" si="19">SUM(E73:E76)</f>
        <v>40</v>
      </c>
      <c r="F72" s="86">
        <f t="shared" si="0"/>
        <v>0.3</v>
      </c>
      <c r="G72" s="87"/>
      <c r="H72" s="85">
        <f>SUM(H73:H76)</f>
        <v>11.650485436893204</v>
      </c>
      <c r="I72" s="85">
        <f t="shared" ref="I72:K72" si="20">SUM(I73:I76)</f>
        <v>12</v>
      </c>
      <c r="J72" s="85">
        <f t="shared" si="20"/>
        <v>12.36</v>
      </c>
      <c r="K72" s="85">
        <f t="shared" si="20"/>
        <v>12.7308</v>
      </c>
      <c r="L72" s="351"/>
    </row>
    <row r="73" spans="1:12" ht="15.05" customHeight="1" outlineLevel="1" thickBot="1">
      <c r="A73" s="360">
        <v>6400</v>
      </c>
      <c r="B73" s="785" t="s">
        <v>146</v>
      </c>
      <c r="C73" s="796"/>
      <c r="D73" s="796"/>
      <c r="E73" s="355">
        <v>10</v>
      </c>
      <c r="F73" s="86">
        <f t="shared" si="0"/>
        <v>0.3</v>
      </c>
      <c r="G73" s="90"/>
      <c r="H73" s="356">
        <f t="shared" ref="H73:H82" si="21">I73/(1+H$15)</f>
        <v>2.912621359223301</v>
      </c>
      <c r="I73" s="356">
        <f t="shared" ref="I73:I76" si="22">F73*E73</f>
        <v>3</v>
      </c>
      <c r="J73" s="356">
        <f t="shared" ref="J73:K76" si="23">I73*(1+J$15)</f>
        <v>3.09</v>
      </c>
      <c r="K73" s="356">
        <f t="shared" si="23"/>
        <v>3.1827000000000001</v>
      </c>
      <c r="L73" s="353"/>
    </row>
    <row r="74" spans="1:12" ht="15.05" customHeight="1" outlineLevel="1" thickBot="1">
      <c r="A74" s="358">
        <v>6402</v>
      </c>
      <c r="B74" s="784" t="s">
        <v>147</v>
      </c>
      <c r="C74" s="784"/>
      <c r="D74" s="785"/>
      <c r="E74" s="355">
        <v>10</v>
      </c>
      <c r="F74" s="86">
        <f t="shared" si="0"/>
        <v>0.3</v>
      </c>
      <c r="G74" s="90"/>
      <c r="H74" s="356">
        <f t="shared" si="21"/>
        <v>2.912621359223301</v>
      </c>
      <c r="I74" s="356">
        <f t="shared" si="22"/>
        <v>3</v>
      </c>
      <c r="J74" s="356">
        <f t="shared" si="23"/>
        <v>3.09</v>
      </c>
      <c r="K74" s="356">
        <f t="shared" si="23"/>
        <v>3.1827000000000001</v>
      </c>
      <c r="L74" s="353"/>
    </row>
    <row r="75" spans="1:12" ht="15.05" customHeight="1" outlineLevel="1" thickBot="1">
      <c r="A75" s="358">
        <v>6404</v>
      </c>
      <c r="B75" s="784" t="s">
        <v>148</v>
      </c>
      <c r="C75" s="784"/>
      <c r="D75" s="785"/>
      <c r="E75" s="355">
        <v>10</v>
      </c>
      <c r="F75" s="86">
        <f t="shared" si="0"/>
        <v>0.3</v>
      </c>
      <c r="G75" s="90"/>
      <c r="H75" s="356">
        <f t="shared" si="21"/>
        <v>2.912621359223301</v>
      </c>
      <c r="I75" s="356">
        <f t="shared" si="22"/>
        <v>3</v>
      </c>
      <c r="J75" s="356">
        <f t="shared" si="23"/>
        <v>3.09</v>
      </c>
      <c r="K75" s="356">
        <f t="shared" si="23"/>
        <v>3.1827000000000001</v>
      </c>
      <c r="L75" s="353"/>
    </row>
    <row r="76" spans="1:12" ht="15.05" customHeight="1" outlineLevel="1" thickBot="1">
      <c r="A76" s="360"/>
      <c r="B76" s="784" t="s">
        <v>149</v>
      </c>
      <c r="C76" s="784"/>
      <c r="D76" s="785"/>
      <c r="E76" s="355">
        <v>10</v>
      </c>
      <c r="F76" s="86">
        <f t="shared" si="0"/>
        <v>0.3</v>
      </c>
      <c r="G76" s="90"/>
      <c r="H76" s="356">
        <f t="shared" si="21"/>
        <v>2.912621359223301</v>
      </c>
      <c r="I76" s="356">
        <f t="shared" si="22"/>
        <v>3</v>
      </c>
      <c r="J76" s="356">
        <f t="shared" si="23"/>
        <v>3.09</v>
      </c>
      <c r="K76" s="356">
        <f t="shared" si="23"/>
        <v>3.1827000000000001</v>
      </c>
      <c r="L76" s="353"/>
    </row>
    <row r="77" spans="1:12" ht="15.05" customHeight="1" thickBot="1">
      <c r="A77" s="84">
        <v>65</v>
      </c>
      <c r="B77" s="786" t="s">
        <v>150</v>
      </c>
      <c r="C77" s="787"/>
      <c r="D77" s="788"/>
      <c r="E77" s="85">
        <f>SUM(E78:E80)</f>
        <v>30</v>
      </c>
      <c r="F77" s="86">
        <f t="shared" si="0"/>
        <v>0.3</v>
      </c>
      <c r="G77" s="87"/>
      <c r="H77" s="85">
        <f>SUM(H78:H80)</f>
        <v>8.7378640776699026</v>
      </c>
      <c r="I77" s="85">
        <f>SUM(I78:I80)</f>
        <v>9</v>
      </c>
      <c r="J77" s="85">
        <f>SUM(J78:J80)</f>
        <v>9.27</v>
      </c>
      <c r="K77" s="85">
        <f>SUM(K78:K80)</f>
        <v>9.5480999999999998</v>
      </c>
      <c r="L77" s="351"/>
    </row>
    <row r="78" spans="1:12" ht="15.05" customHeight="1" outlineLevel="1" thickBot="1">
      <c r="A78" s="361">
        <v>6500</v>
      </c>
      <c r="B78" s="784" t="s">
        <v>151</v>
      </c>
      <c r="C78" s="784"/>
      <c r="D78" s="785"/>
      <c r="E78" s="355">
        <v>10</v>
      </c>
      <c r="F78" s="86">
        <f t="shared" si="0"/>
        <v>0.3</v>
      </c>
      <c r="G78" s="90"/>
      <c r="H78" s="356">
        <f t="shared" si="21"/>
        <v>2.912621359223301</v>
      </c>
      <c r="I78" s="356">
        <f>F78*E78</f>
        <v>3</v>
      </c>
      <c r="J78" s="356">
        <f t="shared" ref="J78:K80" si="24">I78*(1+J$15)</f>
        <v>3.09</v>
      </c>
      <c r="K78" s="356">
        <f t="shared" si="24"/>
        <v>3.1827000000000001</v>
      </c>
      <c r="L78" s="353"/>
    </row>
    <row r="79" spans="1:12" ht="15.05" customHeight="1" outlineLevel="1" thickBot="1">
      <c r="A79" s="361">
        <v>657</v>
      </c>
      <c r="B79" s="784" t="s">
        <v>152</v>
      </c>
      <c r="C79" s="784"/>
      <c r="D79" s="785"/>
      <c r="E79" s="355">
        <v>10</v>
      </c>
      <c r="F79" s="86">
        <f t="shared" si="0"/>
        <v>0.3</v>
      </c>
      <c r="G79" s="90"/>
      <c r="H79" s="356">
        <f t="shared" si="21"/>
        <v>2.912621359223301</v>
      </c>
      <c r="I79" s="356">
        <f t="shared" ref="I79:I80" si="25">F79*E79</f>
        <v>3</v>
      </c>
      <c r="J79" s="356">
        <f t="shared" si="24"/>
        <v>3.09</v>
      </c>
      <c r="K79" s="356">
        <f t="shared" si="24"/>
        <v>3.1827000000000001</v>
      </c>
      <c r="L79" s="353"/>
    </row>
    <row r="80" spans="1:12" ht="15.05" customHeight="1" outlineLevel="1" thickBot="1">
      <c r="A80" s="362">
        <v>658</v>
      </c>
      <c r="B80" s="789" t="s">
        <v>153</v>
      </c>
      <c r="C80" s="790"/>
      <c r="D80" s="790"/>
      <c r="E80" s="355">
        <v>10</v>
      </c>
      <c r="F80" s="86">
        <f t="shared" si="0"/>
        <v>0.3</v>
      </c>
      <c r="G80" s="94"/>
      <c r="H80" s="356">
        <f t="shared" si="21"/>
        <v>2.912621359223301</v>
      </c>
      <c r="I80" s="356">
        <f t="shared" si="25"/>
        <v>3</v>
      </c>
      <c r="J80" s="356">
        <f t="shared" si="24"/>
        <v>3.09</v>
      </c>
      <c r="K80" s="356">
        <f t="shared" si="24"/>
        <v>3.1827000000000001</v>
      </c>
      <c r="L80" s="353"/>
    </row>
    <row r="81" spans="1:12" ht="15.05" customHeight="1" thickBot="1">
      <c r="A81" s="102"/>
      <c r="B81" s="786" t="s">
        <v>154</v>
      </c>
      <c r="C81" s="787"/>
      <c r="D81" s="788"/>
      <c r="E81" s="85">
        <f>SUM(E82:E90)</f>
        <v>1000</v>
      </c>
      <c r="F81" s="86">
        <f t="shared" si="0"/>
        <v>0.3</v>
      </c>
      <c r="G81" s="87"/>
      <c r="H81" s="85">
        <f>SUM(H82:H90)</f>
        <v>1471.5224120256039</v>
      </c>
      <c r="I81" s="85">
        <f>SUM(I82:I90)</f>
        <v>1515.6680843863721</v>
      </c>
      <c r="J81" s="85">
        <f>SUM(J82:J90)</f>
        <v>1561.1381269179633</v>
      </c>
      <c r="K81" s="85">
        <f>SUM(K82:K90)</f>
        <v>1607.9722707255023</v>
      </c>
      <c r="L81" s="351"/>
    </row>
    <row r="82" spans="1:12" ht="15.05" customHeight="1" outlineLevel="1" thickBot="1">
      <c r="A82" s="363"/>
      <c r="B82" s="791" t="s">
        <v>155</v>
      </c>
      <c r="C82" s="792"/>
      <c r="D82" s="793"/>
      <c r="E82" s="355">
        <v>1000</v>
      </c>
      <c r="F82" s="86">
        <f t="shared" si="0"/>
        <v>0.3</v>
      </c>
      <c r="G82" s="103"/>
      <c r="H82" s="356">
        <f t="shared" si="21"/>
        <v>291.26213592233012</v>
      </c>
      <c r="I82" s="356">
        <f>F82*E82</f>
        <v>300</v>
      </c>
      <c r="J82" s="356">
        <f t="shared" ref="J82:J90" si="26">I82*(1+J$15)</f>
        <v>309</v>
      </c>
      <c r="K82" s="356">
        <f t="shared" ref="K82:K90" si="27">J82*(1+K$15)</f>
        <v>318.27</v>
      </c>
      <c r="L82" s="364"/>
    </row>
    <row r="83" spans="1:12" ht="15.65" outlineLevel="1" thickBot="1">
      <c r="A83" s="363"/>
      <c r="B83" s="365"/>
      <c r="C83" s="789" t="s">
        <v>701</v>
      </c>
      <c r="D83" s="794"/>
      <c r="E83" s="99"/>
      <c r="F83" s="101"/>
      <c r="G83" s="67"/>
      <c r="H83" s="356">
        <f t="shared" ref="H83" si="28">I83/(1+H$15)</f>
        <v>1180.2602761032738</v>
      </c>
      <c r="I83" s="356">
        <f>J83/(1+I$15)</f>
        <v>1215.6680843863721</v>
      </c>
      <c r="J83" s="749">
        <f>IF('Simulateur redevance BIO'!B31="non",'Simulateur redevance BIO'!C46,'Simulateur redevance BIO'!F46)</f>
        <v>1252.1381269179633</v>
      </c>
      <c r="K83" s="356">
        <f t="shared" si="27"/>
        <v>1289.7022707255023</v>
      </c>
      <c r="L83" s="351" t="s">
        <v>702</v>
      </c>
    </row>
    <row r="84" spans="1:12" ht="15.05" customHeight="1" outlineLevel="1" thickBot="1">
      <c r="A84" s="363"/>
      <c r="B84" s="781"/>
      <c r="C84" s="782"/>
      <c r="D84" s="783"/>
      <c r="E84" s="355">
        <f t="shared" ref="E84:E90" si="29">D84*(1+E$15)</f>
        <v>0</v>
      </c>
      <c r="F84" s="86">
        <f t="shared" si="0"/>
        <v>0.3</v>
      </c>
      <c r="G84" s="103"/>
      <c r="H84" s="356">
        <f t="shared" ref="H84" si="30">I84/(1+H$15)</f>
        <v>0</v>
      </c>
      <c r="I84" s="366">
        <v>0</v>
      </c>
      <c r="J84" s="356">
        <f t="shared" si="26"/>
        <v>0</v>
      </c>
      <c r="K84" s="356">
        <f t="shared" si="27"/>
        <v>0</v>
      </c>
      <c r="L84" s="353"/>
    </row>
    <row r="85" spans="1:12" ht="15.05" customHeight="1" outlineLevel="1" thickBot="1">
      <c r="A85" s="363"/>
      <c r="B85" s="781"/>
      <c r="C85" s="782"/>
      <c r="D85" s="783"/>
      <c r="E85" s="355">
        <f t="shared" si="29"/>
        <v>0</v>
      </c>
      <c r="F85" s="86">
        <f t="shared" si="0"/>
        <v>0.3</v>
      </c>
      <c r="G85" s="103"/>
      <c r="H85" s="356"/>
      <c r="I85" s="366">
        <v>0</v>
      </c>
      <c r="J85" s="356">
        <f t="shared" si="26"/>
        <v>0</v>
      </c>
      <c r="K85" s="356">
        <f t="shared" si="27"/>
        <v>0</v>
      </c>
      <c r="L85" s="353"/>
    </row>
    <row r="86" spans="1:12" ht="15.05" customHeight="1" outlineLevel="1" thickBot="1">
      <c r="A86" s="363"/>
      <c r="B86" s="781"/>
      <c r="C86" s="782"/>
      <c r="D86" s="783"/>
      <c r="E86" s="355">
        <f t="shared" si="29"/>
        <v>0</v>
      </c>
      <c r="F86" s="86">
        <f t="shared" ref="F86:F90" si="31">$E$11</f>
        <v>0.3</v>
      </c>
      <c r="G86" s="103"/>
      <c r="H86" s="356">
        <f t="shared" ref="H86" si="32">I86/(1+H$15)</f>
        <v>0</v>
      </c>
      <c r="I86" s="366">
        <v>0</v>
      </c>
      <c r="J86" s="356">
        <f t="shared" si="26"/>
        <v>0</v>
      </c>
      <c r="K86" s="356">
        <f t="shared" si="27"/>
        <v>0</v>
      </c>
      <c r="L86" s="353"/>
    </row>
    <row r="87" spans="1:12" ht="15.05" customHeight="1" outlineLevel="1" thickBot="1">
      <c r="A87" s="363"/>
      <c r="B87" s="781"/>
      <c r="C87" s="782"/>
      <c r="D87" s="783"/>
      <c r="E87" s="355">
        <f t="shared" si="29"/>
        <v>0</v>
      </c>
      <c r="F87" s="86">
        <f t="shared" si="31"/>
        <v>0.3</v>
      </c>
      <c r="G87" s="103"/>
      <c r="H87" s="356">
        <f t="shared" ref="H87" si="33">I87/(1+H$15)</f>
        <v>0</v>
      </c>
      <c r="I87" s="366">
        <v>0</v>
      </c>
      <c r="J87" s="356">
        <f t="shared" si="26"/>
        <v>0</v>
      </c>
      <c r="K87" s="356">
        <f t="shared" si="27"/>
        <v>0</v>
      </c>
      <c r="L87" s="353"/>
    </row>
    <row r="88" spans="1:12" ht="15.05" customHeight="1" outlineLevel="1" thickBot="1">
      <c r="A88" s="363"/>
      <c r="B88" s="781"/>
      <c r="C88" s="782"/>
      <c r="D88" s="783"/>
      <c r="E88" s="355">
        <f t="shared" si="29"/>
        <v>0</v>
      </c>
      <c r="F88" s="86">
        <f t="shared" si="31"/>
        <v>0.3</v>
      </c>
      <c r="G88" s="103"/>
      <c r="H88" s="356">
        <f t="shared" ref="H88" si="34">I88/(1+H$15)</f>
        <v>0</v>
      </c>
      <c r="I88" s="366">
        <v>0</v>
      </c>
      <c r="J88" s="356">
        <f t="shared" si="26"/>
        <v>0</v>
      </c>
      <c r="K88" s="356">
        <f t="shared" si="27"/>
        <v>0</v>
      </c>
      <c r="L88" s="353"/>
    </row>
    <row r="89" spans="1:12" ht="15.05" customHeight="1" outlineLevel="1" thickBot="1">
      <c r="A89" s="363"/>
      <c r="B89" s="781"/>
      <c r="C89" s="782"/>
      <c r="D89" s="783"/>
      <c r="E89" s="355">
        <f t="shared" si="29"/>
        <v>0</v>
      </c>
      <c r="F89" s="86">
        <f t="shared" si="31"/>
        <v>0.3</v>
      </c>
      <c r="G89" s="103"/>
      <c r="H89" s="356">
        <f t="shared" ref="H89" si="35">I89/(1+H$15)</f>
        <v>0</v>
      </c>
      <c r="I89" s="366">
        <v>0</v>
      </c>
      <c r="J89" s="356">
        <f t="shared" si="26"/>
        <v>0</v>
      </c>
      <c r="K89" s="356">
        <f t="shared" si="27"/>
        <v>0</v>
      </c>
      <c r="L89" s="353"/>
    </row>
    <row r="90" spans="1:12" ht="15.05" customHeight="1" outlineLevel="1" thickBot="1">
      <c r="A90" s="367"/>
      <c r="B90" s="781"/>
      <c r="C90" s="782"/>
      <c r="D90" s="783"/>
      <c r="E90" s="355">
        <f t="shared" si="29"/>
        <v>0</v>
      </c>
      <c r="F90" s="86">
        <f t="shared" si="31"/>
        <v>0.3</v>
      </c>
      <c r="G90" s="103"/>
      <c r="H90" s="356">
        <f t="shared" ref="H90" si="36">I90/(1+H$15)</f>
        <v>0</v>
      </c>
      <c r="I90" s="366">
        <v>0</v>
      </c>
      <c r="J90" s="356">
        <f t="shared" si="26"/>
        <v>0</v>
      </c>
      <c r="K90" s="356">
        <f t="shared" si="27"/>
        <v>0</v>
      </c>
      <c r="L90" s="353"/>
    </row>
    <row r="91" spans="1:12" ht="15.05" customHeight="1">
      <c r="A91" s="368"/>
      <c r="B91" s="369"/>
      <c r="C91" s="369"/>
      <c r="D91" s="369"/>
      <c r="E91" s="369"/>
      <c r="F91" s="369"/>
      <c r="G91" s="369"/>
      <c r="H91" s="369"/>
      <c r="I91" s="369"/>
      <c r="J91" s="369"/>
      <c r="K91" s="369"/>
      <c r="L91" s="369"/>
    </row>
    <row r="92" spans="1:12" ht="13.95" customHeight="1">
      <c r="A92" s="335"/>
      <c r="B92" s="370"/>
      <c r="C92" s="370"/>
      <c r="D92" s="370"/>
      <c r="E92" s="370"/>
      <c r="F92" s="370"/>
      <c r="G92" s="370"/>
      <c r="H92" s="371"/>
      <c r="I92" s="371"/>
      <c r="J92" s="371"/>
      <c r="K92" s="371"/>
      <c r="L92" s="371"/>
    </row>
    <row r="93" spans="1:12" ht="13.95" customHeight="1" thickBot="1">
      <c r="A93" s="335"/>
      <c r="B93" s="795" t="s">
        <v>156</v>
      </c>
      <c r="C93" s="795"/>
      <c r="D93" s="795"/>
      <c r="E93" s="372"/>
      <c r="F93" s="372"/>
      <c r="G93" s="372"/>
      <c r="H93" s="373"/>
      <c r="I93" s="373"/>
      <c r="J93" s="373"/>
      <c r="K93" s="373"/>
      <c r="L93" s="374"/>
    </row>
    <row r="94" spans="1:12" s="104" customFormat="1" ht="13.95" customHeight="1">
      <c r="B94" s="772"/>
      <c r="C94" s="773"/>
      <c r="D94" s="773"/>
      <c r="E94" s="773"/>
      <c r="F94" s="773"/>
      <c r="G94" s="773"/>
      <c r="H94" s="773"/>
      <c r="I94" s="773"/>
      <c r="J94" s="773"/>
      <c r="K94" s="773"/>
      <c r="L94" s="774"/>
    </row>
    <row r="95" spans="1:12" s="104" customFormat="1" ht="13.95" customHeight="1">
      <c r="B95" s="775"/>
      <c r="C95" s="776"/>
      <c r="D95" s="776"/>
      <c r="E95" s="776"/>
      <c r="F95" s="776"/>
      <c r="G95" s="776"/>
      <c r="H95" s="776"/>
      <c r="I95" s="776"/>
      <c r="J95" s="776"/>
      <c r="K95" s="776"/>
      <c r="L95" s="777"/>
    </row>
    <row r="96" spans="1:12" s="104" customFormat="1" ht="13.95" customHeight="1">
      <c r="B96" s="775"/>
      <c r="C96" s="776"/>
      <c r="D96" s="776"/>
      <c r="E96" s="776"/>
      <c r="F96" s="776"/>
      <c r="G96" s="776"/>
      <c r="H96" s="776"/>
      <c r="I96" s="776"/>
      <c r="J96" s="776"/>
      <c r="K96" s="776"/>
      <c r="L96" s="777"/>
    </row>
    <row r="97" spans="2:12" s="104" customFormat="1" ht="13.95" customHeight="1" thickBot="1">
      <c r="B97" s="778"/>
      <c r="C97" s="779"/>
      <c r="D97" s="779"/>
      <c r="E97" s="779"/>
      <c r="F97" s="779"/>
      <c r="G97" s="779"/>
      <c r="H97" s="779"/>
      <c r="I97" s="779"/>
      <c r="J97" s="779"/>
      <c r="K97" s="779"/>
      <c r="L97" s="780"/>
    </row>
    <row r="98" spans="2:12" ht="13.95" customHeight="1"/>
  </sheetData>
  <sheetProtection sheet="1" objects="1" scenarios="1" sort="0" autoFilter="0"/>
  <protectedRanges>
    <protectedRange sqref="B94 L21:L90" name="Commentaires"/>
    <protectedRange sqref="C83 G82:G90 B82:B90 C82:D82 C84:D90" name="Libellés"/>
    <protectedRange sqref="E58:E65 H15:K15 E67:E70 E82:E90 E44:E45 E42 E23:E25 E27:E29 E31:E35 E37:E40 E47:E49 E73:E76 E78:E80 E51:E56 H23:K25 H27:K29 H31:K35 H42:K42 H44:K45 H47:K49 H51:K56 H58:K65 H73:K76 H67:K70 H78:K80 H37:K40 H82:K90" name="Valeurs"/>
  </protectedRanges>
  <mergeCells count="78">
    <mergeCell ref="H13:K13"/>
    <mergeCell ref="B11:D11"/>
    <mergeCell ref="B17:D18"/>
    <mergeCell ref="B20:D20"/>
    <mergeCell ref="B21:D21"/>
    <mergeCell ref="B15:D15"/>
    <mergeCell ref="B16:D16"/>
    <mergeCell ref="B33:D33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45:D45"/>
    <mergeCell ref="B34:D34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6:D46"/>
    <mergeCell ref="B47:D47"/>
    <mergeCell ref="B48:D48"/>
    <mergeCell ref="B49:D49"/>
    <mergeCell ref="B50:D50"/>
    <mergeCell ref="B73:D73"/>
    <mergeCell ref="B74:D74"/>
    <mergeCell ref="B66:D66"/>
    <mergeCell ref="B58:D58"/>
    <mergeCell ref="B59:D59"/>
    <mergeCell ref="B60:D60"/>
    <mergeCell ref="B61:D61"/>
    <mergeCell ref="B63:D63"/>
    <mergeCell ref="B64:D64"/>
    <mergeCell ref="B65:D65"/>
    <mergeCell ref="B90:D90"/>
    <mergeCell ref="B51:D51"/>
    <mergeCell ref="B52:D52"/>
    <mergeCell ref="B53:D53"/>
    <mergeCell ref="B54:D54"/>
    <mergeCell ref="B55:D55"/>
    <mergeCell ref="B57:D57"/>
    <mergeCell ref="B62:D62"/>
    <mergeCell ref="B56:D56"/>
    <mergeCell ref="B67:D67"/>
    <mergeCell ref="B75:D75"/>
    <mergeCell ref="B68:D68"/>
    <mergeCell ref="B69:D69"/>
    <mergeCell ref="B70:D70"/>
    <mergeCell ref="B71:D71"/>
    <mergeCell ref="B72:D72"/>
    <mergeCell ref="B94:L97"/>
    <mergeCell ref="B87:D87"/>
    <mergeCell ref="B76:D76"/>
    <mergeCell ref="B77:D77"/>
    <mergeCell ref="B78:D78"/>
    <mergeCell ref="B79:D79"/>
    <mergeCell ref="B80:D80"/>
    <mergeCell ref="B81:D81"/>
    <mergeCell ref="B82:D82"/>
    <mergeCell ref="B84:D84"/>
    <mergeCell ref="B85:D85"/>
    <mergeCell ref="B86:D86"/>
    <mergeCell ref="C83:D83"/>
    <mergeCell ref="B88:D88"/>
    <mergeCell ref="B89:D89"/>
    <mergeCell ref="B93:D93"/>
  </mergeCells>
  <pageMargins left="0.23622047244094491" right="0.23622047244094491" top="0.74803149606299213" bottom="0.74803149606299213" header="0.31496062992125984" footer="0.31496062992125984"/>
  <pageSetup paperSize="9" scale="46" orientation="portrait" r:id="rId1"/>
  <headerFooter>
    <oddFooter>&amp;L&amp;D&amp;C&amp;G&amp;RPlan financier Crédal - Dossier confidentiel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7A5D7-537D-450F-BB2D-2DAC88379D43}">
  <dimension ref="A1:AC412"/>
  <sheetViews>
    <sheetView zoomScale="70" zoomScaleNormal="70" workbookViewId="0">
      <selection activeCell="E9" sqref="E9"/>
    </sheetView>
  </sheetViews>
  <sheetFormatPr baseColWidth="10" defaultColWidth="10.77734375" defaultRowHeight="13.15" outlineLevelRow="1" outlineLevelCol="1"/>
  <cols>
    <col min="1" max="1" width="48.77734375" style="108" customWidth="1"/>
    <col min="2" max="2" width="7.33203125" style="108" customWidth="1"/>
    <col min="3" max="3" width="11.6640625" style="108" customWidth="1"/>
    <col min="4" max="4" width="11.77734375" style="108" customWidth="1"/>
    <col min="5" max="5" width="12.5546875" style="108" customWidth="1"/>
    <col min="6" max="6" width="13.33203125" style="108" customWidth="1"/>
    <col min="7" max="7" width="12.21875" style="108" customWidth="1"/>
    <col min="8" max="8" width="11.6640625" style="108" customWidth="1"/>
    <col min="9" max="18" width="10.77734375" style="108" customWidth="1" outlineLevel="1"/>
    <col min="19" max="19" width="10.77734375" style="107"/>
    <col min="20" max="20" width="33.21875" style="107" customWidth="1"/>
    <col min="21" max="21" width="17.6640625" style="108" customWidth="1"/>
    <col min="22" max="22" width="18.33203125" style="108" customWidth="1"/>
    <col min="23" max="16384" width="10.77734375" style="108"/>
  </cols>
  <sheetData>
    <row r="1" spans="1:22">
      <c r="A1" s="835" t="s">
        <v>340</v>
      </c>
      <c r="B1" s="836"/>
      <c r="C1" s="836"/>
      <c r="D1" s="836"/>
      <c r="E1" s="836"/>
      <c r="F1" s="836"/>
      <c r="G1" s="836"/>
      <c r="H1" s="836"/>
      <c r="I1" s="835" t="s">
        <v>340</v>
      </c>
      <c r="J1" s="836"/>
      <c r="K1" s="836"/>
      <c r="L1" s="836"/>
      <c r="M1" s="836"/>
      <c r="N1" s="836"/>
      <c r="O1" s="836"/>
      <c r="P1" s="836"/>
      <c r="Q1" s="836"/>
      <c r="R1" s="836"/>
      <c r="T1" s="375"/>
      <c r="U1" s="375"/>
      <c r="V1" s="375"/>
    </row>
    <row r="2" spans="1:22" ht="14.4" customHeight="1">
      <c r="A2" s="106"/>
      <c r="B2" s="839" t="s">
        <v>426</v>
      </c>
      <c r="C2" s="840" t="s">
        <v>192</v>
      </c>
      <c r="D2" s="840"/>
      <c r="E2" s="840"/>
      <c r="F2" s="840"/>
      <c r="G2" s="840"/>
      <c r="H2" s="840"/>
      <c r="I2" s="840" t="s">
        <v>192</v>
      </c>
      <c r="J2" s="840"/>
      <c r="K2" s="840"/>
      <c r="L2" s="840"/>
      <c r="M2" s="840"/>
      <c r="N2" s="840"/>
      <c r="O2" s="840"/>
      <c r="P2" s="840"/>
      <c r="Q2" s="840"/>
      <c r="R2" s="840"/>
      <c r="T2" s="375"/>
      <c r="U2" s="375"/>
      <c r="V2" s="375"/>
    </row>
    <row r="3" spans="1:22">
      <c r="A3" s="375"/>
      <c r="B3" s="839"/>
      <c r="C3" s="109" t="s">
        <v>311</v>
      </c>
      <c r="D3" s="110" t="s">
        <v>312</v>
      </c>
      <c r="E3" s="110" t="s">
        <v>313</v>
      </c>
      <c r="F3" s="110" t="s">
        <v>314</v>
      </c>
      <c r="G3" s="111" t="s">
        <v>315</v>
      </c>
      <c r="H3" s="110" t="s">
        <v>316</v>
      </c>
      <c r="I3" s="110" t="s">
        <v>317</v>
      </c>
      <c r="J3" s="110" t="s">
        <v>318</v>
      </c>
      <c r="K3" s="111" t="s">
        <v>319</v>
      </c>
      <c r="L3" s="110" t="s">
        <v>320</v>
      </c>
      <c r="M3" s="110" t="s">
        <v>321</v>
      </c>
      <c r="N3" s="110" t="s">
        <v>322</v>
      </c>
      <c r="O3" s="110" t="s">
        <v>323</v>
      </c>
      <c r="P3" s="110" t="s">
        <v>324</v>
      </c>
      <c r="Q3" s="110" t="s">
        <v>325</v>
      </c>
      <c r="R3" s="110" t="s">
        <v>326</v>
      </c>
      <c r="T3" s="375"/>
      <c r="U3" s="375"/>
      <c r="V3" s="375"/>
    </row>
    <row r="4" spans="1:22" ht="28.8" customHeight="1">
      <c r="A4" s="376" t="s">
        <v>23</v>
      </c>
      <c r="B4" s="112" t="str">
        <f>IFERROR(_xlfn.XLOOKUP(A4,Listes!$F$2:$F$46,Listes!$G$2:$G$46,""),"")</f>
        <v>C3</v>
      </c>
      <c r="C4" s="113" t="str" cm="1">
        <f t="array" aca="1" ref="C4" ca="1">IFERROR(INDIRECT("'" &amp; C$3 &amp; "'!" &amp; $B4),"")</f>
        <v>Coulis de tomate</v>
      </c>
      <c r="D4" s="113" t="str" cm="1">
        <f t="array" aca="1" ref="D4" ca="1">IFERROR(INDIRECT("'" &amp; D$3 &amp; "'!" &amp; $B4),"")</f>
        <v>Pickels légumes</v>
      </c>
      <c r="E4" s="113" t="str" cm="1">
        <f t="array" aca="1" ref="E4" ca="1">IFERROR(INDIRECT("'" &amp; E$3 &amp; "'!" &amp; $B4),"")</f>
        <v>Potage legume feuille</v>
      </c>
      <c r="F4" s="113" t="str" cm="1">
        <f t="array" aca="1" ref="F4" ca="1">IFERROR(INDIRECT("'" &amp; F$3 &amp; "'!" &amp; $B4),"")</f>
        <v>Bolognaise</v>
      </c>
      <c r="G4" s="113" t="str" cm="1">
        <f t="array" aca="1" ref="G4" ca="1">IFERROR(INDIRECT("'" &amp; G$3 &amp; "'!" &amp; $B4),"")</f>
        <v>Chutney carottes</v>
      </c>
      <c r="H4" s="113" t="str" cm="1">
        <f t="array" aca="1" ref="H4" ca="1">IFERROR(INDIRECT("'" &amp; H$3 &amp; "'!" &amp; $B4),"")</f>
        <v>Marmelade agrumes</v>
      </c>
      <c r="I4" s="113" t="str" cm="1">
        <f t="array" aca="1" ref="I4" ca="1">IFERROR(INDIRECT("'" &amp; I$3 &amp; "'!" &amp; $B4),"")</f>
        <v>Sirop menthe</v>
      </c>
      <c r="J4" s="113" t="str" cm="1">
        <f t="array" aca="1" ref="J4" ca="1">IFERROR(INDIRECT("'" &amp; J$3 &amp; "'!" &amp; $B4),"")</f>
        <v>Cornichons</v>
      </c>
      <c r="K4" s="113" t="str" cm="1">
        <f t="array" aca="1" ref="K4" ca="1">IFERROR(INDIRECT("'" &amp; K$3 &amp; "'!" &amp; $B4),"")</f>
        <v/>
      </c>
      <c r="L4" s="113" t="str" cm="1">
        <f t="array" aca="1" ref="L4" ca="1">IFERROR(INDIRECT("'" &amp; L$3 &amp; "'!" &amp; $B4),"")</f>
        <v/>
      </c>
      <c r="M4" s="113" t="str" cm="1">
        <f t="array" aca="1" ref="M4" ca="1">IFERROR(INDIRECT("'" &amp; M$3 &amp; "'!" &amp; $B4),"")</f>
        <v/>
      </c>
      <c r="N4" s="113" t="str" cm="1">
        <f t="array" aca="1" ref="N4" ca="1">IFERROR(INDIRECT("'" &amp; N$3 &amp; "'!" &amp; $B4),"")</f>
        <v/>
      </c>
      <c r="O4" s="113" t="str" cm="1">
        <f t="array" aca="1" ref="O4" ca="1">IFERROR(INDIRECT("'" &amp; O$3 &amp; "'!" &amp; $B4),"")</f>
        <v/>
      </c>
      <c r="P4" s="113" t="str" cm="1">
        <f t="array" aca="1" ref="P4" ca="1">IFERROR(INDIRECT("'" &amp; P$3 &amp; "'!" &amp; $B4),"")</f>
        <v/>
      </c>
      <c r="Q4" s="113" t="str" cm="1">
        <f t="array" aca="1" ref="Q4" ca="1">IFERROR(INDIRECT("'" &amp; Q$3 &amp; "'!" &amp; $B4),"")</f>
        <v/>
      </c>
      <c r="R4" s="113" t="str" cm="1">
        <f t="array" aca="1" ref="R4" ca="1">IFERROR(INDIRECT("'" &amp; R$3 &amp; "'!" &amp; $B4),"")</f>
        <v/>
      </c>
      <c r="T4" s="375"/>
      <c r="U4" s="375"/>
      <c r="V4" s="375"/>
    </row>
    <row r="5" spans="1:22" outlineLevel="1">
      <c r="A5" s="112" t="s">
        <v>181</v>
      </c>
      <c r="B5" s="112" t="str">
        <f>IFERROR(_xlfn.XLOOKUP(A5,Listes!$F$2:$F$46,Listes!$G$2:$G$46,""),"")</f>
        <v>D6</v>
      </c>
      <c r="C5" s="114" cm="1">
        <f t="array" aca="1" ref="C5" ca="1">IFERROR(INDIRECT("'" &amp; C$3 &amp; "'!" &amp; $B5),"")</f>
        <v>0.2</v>
      </c>
      <c r="D5" s="114" cm="1">
        <f t="array" aca="1" ref="D5" ca="1">IFERROR(INDIRECT("'" &amp; D$3 &amp; "'!" &amp; $B5),"")</f>
        <v>0.2</v>
      </c>
      <c r="E5" s="114" cm="1">
        <f t="array" aca="1" ref="E5" ca="1">IFERROR(INDIRECT("'" &amp; E$3 &amp; "'!" &amp; $B5),"")</f>
        <v>0.2</v>
      </c>
      <c r="F5" s="114" cm="1">
        <f t="array" aca="1" ref="F5" ca="1">IFERROR(INDIRECT("'" &amp; F$3 &amp; "'!" &amp; $B5),"")</f>
        <v>0.2</v>
      </c>
      <c r="G5" s="114" cm="1">
        <f t="array" aca="1" ref="G5" ca="1">IFERROR(INDIRECT("'" &amp; G$3 &amp; "'!" &amp; $B5),"")</f>
        <v>0.2</v>
      </c>
      <c r="H5" s="114" cm="1">
        <f t="array" aca="1" ref="H5" ca="1">IFERROR(INDIRECT("'" &amp; H$3 &amp; "'!" &amp; $B5),"")</f>
        <v>0.2</v>
      </c>
      <c r="I5" s="114" cm="1">
        <f t="array" aca="1" ref="I5" ca="1">IFERROR(INDIRECT("'" &amp; I$3 &amp; "'!" &amp; $B5),"")</f>
        <v>0.2</v>
      </c>
      <c r="J5" s="114" cm="1">
        <f t="array" aca="1" ref="J5" ca="1">IFERROR(INDIRECT("'" &amp; J$3 &amp; "'!" &amp; $B5),"")</f>
        <v>0.2</v>
      </c>
      <c r="K5" s="114" t="str" cm="1">
        <f t="array" aca="1" ref="K5" ca="1">IFERROR(INDIRECT("'" &amp; K$3 &amp; "'!" &amp; $B5),"")</f>
        <v/>
      </c>
      <c r="L5" s="114" t="str" cm="1">
        <f t="array" aca="1" ref="L5" ca="1">IFERROR(INDIRECT("'" &amp; L$3 &amp; "'!" &amp; $B5),"")</f>
        <v/>
      </c>
      <c r="M5" s="114" t="str" cm="1">
        <f t="array" aca="1" ref="M5" ca="1">IFERROR(INDIRECT("'" &amp; M$3 &amp; "'!" &amp; $B5),"")</f>
        <v/>
      </c>
      <c r="N5" s="114" t="str" cm="1">
        <f t="array" aca="1" ref="N5" ca="1">IFERROR(INDIRECT("'" &amp; N$3 &amp; "'!" &amp; $B5),"")</f>
        <v/>
      </c>
      <c r="O5" s="114" t="str" cm="1">
        <f t="array" aca="1" ref="O5" ca="1">IFERROR(INDIRECT("'" &amp; O$3 &amp; "'!" &amp; $B5),"")</f>
        <v/>
      </c>
      <c r="P5" s="114" t="str" cm="1">
        <f t="array" aca="1" ref="P5" ca="1">IFERROR(INDIRECT("'" &amp; P$3 &amp; "'!" &amp; $B5),"")</f>
        <v/>
      </c>
      <c r="Q5" s="114" t="str" cm="1">
        <f t="array" aca="1" ref="Q5" ca="1">IFERROR(INDIRECT("'" &amp; Q$3 &amp; "'!" &amp; $B5),"")</f>
        <v/>
      </c>
      <c r="R5" s="114" t="str" cm="1">
        <f t="array" aca="1" ref="R5" ca="1">IFERROR(INDIRECT("'" &amp; R$3 &amp; "'!" &amp; $B5),"")</f>
        <v/>
      </c>
      <c r="T5" s="375"/>
      <c r="U5" s="375"/>
      <c r="V5" s="375"/>
    </row>
    <row r="6" spans="1:22" outlineLevel="1">
      <c r="A6" s="112" t="s">
        <v>183</v>
      </c>
      <c r="B6" s="112" t="str">
        <f>IFERROR(_xlfn.XLOOKUP(A6,Listes!$F$2:$F$46,Listes!$G$2:$G$46,""),"")</f>
        <v>D10</v>
      </c>
      <c r="C6" s="115" cm="1">
        <f t="array" aca="1" ref="C6" ca="1">IFERROR(INDIRECT("'" &amp; C$3 &amp; "'!" &amp; $B6),"")</f>
        <v>4.0599999999999996</v>
      </c>
      <c r="D6" s="115" cm="1">
        <f t="array" aca="1" ref="D6" ca="1">IFERROR(INDIRECT("'" &amp; D$3 &amp; "'!" &amp; $B6),"")</f>
        <v>4.0599999999999996</v>
      </c>
      <c r="E6" s="115" cm="1">
        <f t="array" aca="1" ref="E6" ca="1">IFERROR(INDIRECT("'" &amp; E$3 &amp; "'!" &amp; $B6),"")</f>
        <v>4.0599999999999996</v>
      </c>
      <c r="F6" s="115" cm="1">
        <f t="array" aca="1" ref="F6" ca="1">IFERROR(INDIRECT("'" &amp; F$3 &amp; "'!" &amp; $B6),"")</f>
        <v>4.0599999999999996</v>
      </c>
      <c r="G6" s="115" cm="1">
        <f t="array" aca="1" ref="G6" ca="1">IFERROR(INDIRECT("'" &amp; G$3 &amp; "'!" &amp; $B6),"")</f>
        <v>4.0599999999999996</v>
      </c>
      <c r="H6" s="115" cm="1">
        <f t="array" aca="1" ref="H6" ca="1">IFERROR(INDIRECT("'" &amp; H$3 &amp; "'!" &amp; $B6),"")</f>
        <v>4.0599999999999996</v>
      </c>
      <c r="I6" s="115" cm="1">
        <f t="array" aca="1" ref="I6" ca="1">IFERROR(INDIRECT("'" &amp; I$3 &amp; "'!" &amp; $B6),"")</f>
        <v>4.0599999999999996</v>
      </c>
      <c r="J6" s="115" cm="1">
        <f t="array" aca="1" ref="J6" ca="1">IFERROR(INDIRECT("'" &amp; J$3 &amp; "'!" &amp; $B6),"")</f>
        <v>4.0599999999999996</v>
      </c>
      <c r="K6" s="115" t="str" cm="1">
        <f t="array" aca="1" ref="K6" ca="1">IFERROR(INDIRECT("'" &amp; K$3 &amp; "'!" &amp; $B6),"")</f>
        <v/>
      </c>
      <c r="L6" s="115" t="str" cm="1">
        <f t="array" aca="1" ref="L6" ca="1">IFERROR(INDIRECT("'" &amp; L$3 &amp; "'!" &amp; $B6),"")</f>
        <v/>
      </c>
      <c r="M6" s="115" t="str" cm="1">
        <f t="array" aca="1" ref="M6" ca="1">IFERROR(INDIRECT("'" &amp; M$3 &amp; "'!" &amp; $B6),"")</f>
        <v/>
      </c>
      <c r="N6" s="115" t="str" cm="1">
        <f t="array" aca="1" ref="N6" ca="1">IFERROR(INDIRECT("'" &amp; N$3 &amp; "'!" &amp; $B6),"")</f>
        <v/>
      </c>
      <c r="O6" s="115" t="str" cm="1">
        <f t="array" aca="1" ref="O6" ca="1">IFERROR(INDIRECT("'" &amp; O$3 &amp; "'!" &amp; $B6),"")</f>
        <v/>
      </c>
      <c r="P6" s="115" t="str" cm="1">
        <f t="array" aca="1" ref="P6" ca="1">IFERROR(INDIRECT("'" &amp; P$3 &amp; "'!" &amp; $B6),"")</f>
        <v/>
      </c>
      <c r="Q6" s="115" t="str" cm="1">
        <f t="array" aca="1" ref="Q6" ca="1">IFERROR(INDIRECT("'" &amp; Q$3 &amp; "'!" &amp; $B6),"")</f>
        <v/>
      </c>
      <c r="R6" s="115" t="str" cm="1">
        <f t="array" aca="1" ref="R6" ca="1">IFERROR(INDIRECT("'" &amp; R$3 &amp; "'!" &amp; $B6),"")</f>
        <v/>
      </c>
      <c r="T6" s="375"/>
      <c r="U6" s="375"/>
      <c r="V6" s="375"/>
    </row>
    <row r="7" spans="1:22" outlineLevel="1">
      <c r="A7" s="112" t="s">
        <v>184</v>
      </c>
      <c r="B7" s="112" t="str">
        <f>IFERROR(_xlfn.XLOOKUP(A7,Listes!$F$2:$F$46,Listes!$G$2:$G$46,""),"")</f>
        <v>G10</v>
      </c>
      <c r="C7" s="115" cm="1">
        <f t="array" aca="1" ref="C7" ca="1">IFERROR(INDIRECT("'" &amp; C$3 &amp; "'!" &amp; $B7),"")</f>
        <v>4.6698113207547172</v>
      </c>
      <c r="D7" s="115" cm="1">
        <f t="array" aca="1" ref="D7" ca="1">IFERROR(INDIRECT("'" &amp; D$3 &amp; "'!" &amp; $B7),"")</f>
        <v>4.6698113207547172</v>
      </c>
      <c r="E7" s="115" cm="1">
        <f t="array" aca="1" ref="E7" ca="1">IFERROR(INDIRECT("'" &amp; E$3 &amp; "'!" &amp; $B7),"")</f>
        <v>4.6698113207547172</v>
      </c>
      <c r="F7" s="115" cm="1">
        <f t="array" aca="1" ref="F7" ca="1">IFERROR(INDIRECT("'" &amp; F$3 &amp; "'!" &amp; $B7),"")</f>
        <v>4.6698113207547172</v>
      </c>
      <c r="G7" s="115" cm="1">
        <f t="array" aca="1" ref="G7" ca="1">IFERROR(INDIRECT("'" &amp; G$3 &amp; "'!" &amp; $B7),"")</f>
        <v>4.6698113207547172</v>
      </c>
      <c r="H7" s="115" cm="1">
        <f t="array" aca="1" ref="H7" ca="1">IFERROR(INDIRECT("'" &amp; H$3 &amp; "'!" &amp; $B7),"")</f>
        <v>4.6698113207547172</v>
      </c>
      <c r="I7" s="115" cm="1">
        <f t="array" aca="1" ref="I7" ca="1">IFERROR(INDIRECT("'" &amp; I$3 &amp; "'!" &amp; $B7),"")</f>
        <v>4.6698113207547172</v>
      </c>
      <c r="J7" s="115" cm="1">
        <f t="array" aca="1" ref="J7" ca="1">IFERROR(INDIRECT("'" &amp; J$3 &amp; "'!" &amp; $B7),"")</f>
        <v>4.6698113207547172</v>
      </c>
      <c r="K7" s="115" t="str" cm="1">
        <f t="array" aca="1" ref="K7" ca="1">IFERROR(INDIRECT("'" &amp; K$3 &amp; "'!" &amp; $B7),"")</f>
        <v/>
      </c>
      <c r="L7" s="115" t="str" cm="1">
        <f t="array" aca="1" ref="L7" ca="1">IFERROR(INDIRECT("'" &amp; L$3 &amp; "'!" &amp; $B7),"")</f>
        <v/>
      </c>
      <c r="M7" s="115" t="str" cm="1">
        <f t="array" aca="1" ref="M7" ca="1">IFERROR(INDIRECT("'" &amp; M$3 &amp; "'!" &amp; $B7),"")</f>
        <v/>
      </c>
      <c r="N7" s="115" t="str" cm="1">
        <f t="array" aca="1" ref="N7" ca="1">IFERROR(INDIRECT("'" &amp; N$3 &amp; "'!" &amp; $B7),"")</f>
        <v/>
      </c>
      <c r="O7" s="115" t="str" cm="1">
        <f t="array" aca="1" ref="O7" ca="1">IFERROR(INDIRECT("'" &amp; O$3 &amp; "'!" &amp; $B7),"")</f>
        <v/>
      </c>
      <c r="P7" s="115" t="str" cm="1">
        <f t="array" aca="1" ref="P7" ca="1">IFERROR(INDIRECT("'" &amp; P$3 &amp; "'!" &amp; $B7),"")</f>
        <v/>
      </c>
      <c r="Q7" s="115" t="str" cm="1">
        <f t="array" aca="1" ref="Q7" ca="1">IFERROR(INDIRECT("'" &amp; Q$3 &amp; "'!" &amp; $B7),"")</f>
        <v/>
      </c>
      <c r="R7" s="115" t="str" cm="1">
        <f t="array" aca="1" ref="R7" ca="1">IFERROR(INDIRECT("'" &amp; R$3 &amp; "'!" &amp; $B7),"")</f>
        <v/>
      </c>
      <c r="T7" s="375"/>
      <c r="U7" s="375"/>
      <c r="V7" s="375"/>
    </row>
    <row r="8" spans="1:22" outlineLevel="1">
      <c r="A8" s="112" t="s">
        <v>185</v>
      </c>
      <c r="B8" s="112" t="str">
        <f>IFERROR(_xlfn.XLOOKUP(A8,Listes!$F$2:$F$46,Listes!$G$2:$G$46,""),"")</f>
        <v>D13</v>
      </c>
      <c r="C8" s="116" cm="1">
        <f t="array" aca="1" ref="C8" ca="1">IFERROR(INDIRECT("'" &amp; C$3 &amp; "'!" &amp; $B8),"")</f>
        <v>0.15019983269820636</v>
      </c>
      <c r="D8" s="116" cm="1">
        <f t="array" aca="1" ref="D8" ca="1">IFERROR(INDIRECT("'" &amp; D$3 &amp; "'!" &amp; $B8),"")</f>
        <v>0.15019983269820636</v>
      </c>
      <c r="E8" s="116" cm="1">
        <f t="array" aca="1" ref="E8" ca="1">IFERROR(INDIRECT("'" &amp; E$3 &amp; "'!" &amp; $B8),"")</f>
        <v>0.15019983269820636</v>
      </c>
      <c r="F8" s="116" cm="1">
        <f t="array" aca="1" ref="F8" ca="1">IFERROR(INDIRECT("'" &amp; F$3 &amp; "'!" &amp; $B8),"")</f>
        <v>0.15019983269820636</v>
      </c>
      <c r="G8" s="116" cm="1">
        <f t="array" aca="1" ref="G8" ca="1">IFERROR(INDIRECT("'" &amp; G$3 &amp; "'!" &amp; $B8),"")</f>
        <v>0.15019983269820636</v>
      </c>
      <c r="H8" s="116" cm="1">
        <f t="array" aca="1" ref="H8" ca="1">IFERROR(INDIRECT("'" &amp; H$3 &amp; "'!" &amp; $B8),"")</f>
        <v>0.15019983269820636</v>
      </c>
      <c r="I8" s="116" cm="1">
        <f t="array" aca="1" ref="I8" ca="1">IFERROR(INDIRECT("'" &amp; I$3 &amp; "'!" &amp; $B8),"")</f>
        <v>0.15019983269820636</v>
      </c>
      <c r="J8" s="116" cm="1">
        <f t="array" aca="1" ref="J8" ca="1">IFERROR(INDIRECT("'" &amp; J$3 &amp; "'!" &amp; $B8),"")</f>
        <v>0.15019983269820636</v>
      </c>
      <c r="K8" s="116" t="str" cm="1">
        <f t="array" aca="1" ref="K8" ca="1">IFERROR(INDIRECT("'" &amp; K$3 &amp; "'!" &amp; $B8),"")</f>
        <v/>
      </c>
      <c r="L8" s="116" t="str" cm="1">
        <f t="array" aca="1" ref="L8" ca="1">IFERROR(INDIRECT("'" &amp; L$3 &amp; "'!" &amp; $B8),"")</f>
        <v/>
      </c>
      <c r="M8" s="116" t="str" cm="1">
        <f t="array" aca="1" ref="M8" ca="1">IFERROR(INDIRECT("'" &amp; M$3 &amp; "'!" &amp; $B8),"")</f>
        <v/>
      </c>
      <c r="N8" s="116" t="str" cm="1">
        <f t="array" aca="1" ref="N8" ca="1">IFERROR(INDIRECT("'" &amp; N$3 &amp; "'!" &amp; $B8),"")</f>
        <v/>
      </c>
      <c r="O8" s="116" t="str" cm="1">
        <f t="array" aca="1" ref="O8" ca="1">IFERROR(INDIRECT("'" &amp; O$3 &amp; "'!" &amp; $B8),"")</f>
        <v/>
      </c>
      <c r="P8" s="116" t="str" cm="1">
        <f t="array" aca="1" ref="P8" ca="1">IFERROR(INDIRECT("'" &amp; P$3 &amp; "'!" &amp; $B8),"")</f>
        <v/>
      </c>
      <c r="Q8" s="116" t="str" cm="1">
        <f t="array" aca="1" ref="Q8" ca="1">IFERROR(INDIRECT("'" &amp; Q$3 &amp; "'!" &amp; $B8),"")</f>
        <v/>
      </c>
      <c r="R8" s="116" t="str" cm="1">
        <f t="array" aca="1" ref="R8" ca="1">IFERROR(INDIRECT("'" &amp; R$3 &amp; "'!" &amp; $B8),"")</f>
        <v/>
      </c>
      <c r="T8" s="375"/>
      <c r="U8" s="375"/>
      <c r="V8" s="375"/>
    </row>
    <row r="9" spans="1:22" outlineLevel="1">
      <c r="A9" s="112" t="s">
        <v>182</v>
      </c>
      <c r="B9" s="112" t="str">
        <f>IFERROR(_xlfn.XLOOKUP(A9,Listes!$F$2:$F$46,Listes!$G$2:$G$46,""),"")</f>
        <v>D5</v>
      </c>
      <c r="C9" s="114" cm="1">
        <f t="array" aca="1" ref="C9" ca="1">IFERROR(INDIRECT("'" &amp; C$3 &amp; "'!" &amp; $B9),"")</f>
        <v>50</v>
      </c>
      <c r="D9" s="114" cm="1">
        <f t="array" aca="1" ref="D9" ca="1">IFERROR(INDIRECT("'" &amp; D$3 &amp; "'!" &amp; $B9),"")</f>
        <v>50</v>
      </c>
      <c r="E9" s="114" cm="1">
        <f t="array" aca="1" ref="E9" ca="1">IFERROR(INDIRECT("'" &amp; E$3 &amp; "'!" &amp; $B9),"")</f>
        <v>50</v>
      </c>
      <c r="F9" s="114" cm="1">
        <f t="array" aca="1" ref="F9" ca="1">IFERROR(INDIRECT("'" &amp; F$3 &amp; "'!" &amp; $B9),"")</f>
        <v>50</v>
      </c>
      <c r="G9" s="114" cm="1">
        <f t="array" aca="1" ref="G9" ca="1">IFERROR(INDIRECT("'" &amp; G$3 &amp; "'!" &amp; $B9),"")</f>
        <v>50</v>
      </c>
      <c r="H9" s="114" cm="1">
        <f t="array" aca="1" ref="H9" ca="1">IFERROR(INDIRECT("'" &amp; H$3 &amp; "'!" &amp; $B9),"")</f>
        <v>50</v>
      </c>
      <c r="I9" s="114" cm="1">
        <f t="array" aca="1" ref="I9" ca="1">IFERROR(INDIRECT("'" &amp; I$3 &amp; "'!" &amp; $B9),"")</f>
        <v>50</v>
      </c>
      <c r="J9" s="114" cm="1">
        <f t="array" aca="1" ref="J9" ca="1">IFERROR(INDIRECT("'" &amp; J$3 &amp; "'!" &amp; $B9),"")</f>
        <v>50</v>
      </c>
      <c r="K9" s="114" t="str" cm="1">
        <f t="array" aca="1" ref="K9" ca="1">IFERROR(INDIRECT("'" &amp; K$3 &amp; "'!" &amp; $B9),"")</f>
        <v/>
      </c>
      <c r="L9" s="114" t="str" cm="1">
        <f t="array" aca="1" ref="L9" ca="1">IFERROR(INDIRECT("'" &amp; L$3 &amp; "'!" &amp; $B9),"")</f>
        <v/>
      </c>
      <c r="M9" s="114" t="str" cm="1">
        <f t="array" aca="1" ref="M9" ca="1">IFERROR(INDIRECT("'" &amp; M$3 &amp; "'!" &amp; $B9),"")</f>
        <v/>
      </c>
      <c r="N9" s="114" t="str" cm="1">
        <f t="array" aca="1" ref="N9" ca="1">IFERROR(INDIRECT("'" &amp; N$3 &amp; "'!" &amp; $B9),"")</f>
        <v/>
      </c>
      <c r="O9" s="114" t="str" cm="1">
        <f t="array" aca="1" ref="O9" ca="1">IFERROR(INDIRECT("'" &amp; O$3 &amp; "'!" &amp; $B9),"")</f>
        <v/>
      </c>
      <c r="P9" s="114" t="str" cm="1">
        <f t="array" aca="1" ref="P9" ca="1">IFERROR(INDIRECT("'" &amp; P$3 &amp; "'!" &amp; $B9),"")</f>
        <v/>
      </c>
      <c r="Q9" s="114" t="str" cm="1">
        <f t="array" aca="1" ref="Q9" ca="1">IFERROR(INDIRECT("'" &amp; Q$3 &amp; "'!" &amp; $B9),"")</f>
        <v/>
      </c>
      <c r="R9" s="114" t="str" cm="1">
        <f t="array" aca="1" ref="R9" ca="1">IFERROR(INDIRECT("'" &amp; R$3 &amp; "'!" &amp; $B9),"")</f>
        <v/>
      </c>
      <c r="T9" s="375"/>
      <c r="U9" s="375"/>
      <c r="V9" s="375"/>
    </row>
    <row r="10" spans="1:22" outlineLevel="1">
      <c r="A10" s="112" t="s">
        <v>444</v>
      </c>
      <c r="B10" s="112" t="str">
        <f>IFERROR(_xlfn.XLOOKUP(A10,Listes!$F$2:$F$46,Listes!$G$2:$G$46,""),"")</f>
        <v>D8</v>
      </c>
      <c r="C10" s="114" cm="1">
        <f t="array" aca="1" ref="C10" ca="1">IFERROR(INDIRECT("'" &amp; C$3 &amp; "'!" &amp; $B10),"")</f>
        <v>225</v>
      </c>
      <c r="D10" s="114" cm="1">
        <f t="array" aca="1" ref="D10" ca="1">IFERROR(INDIRECT("'" &amp; D$3 &amp; "'!" &amp; $B10),"")</f>
        <v>225</v>
      </c>
      <c r="E10" s="114" cm="1">
        <f t="array" aca="1" ref="E10" ca="1">IFERROR(INDIRECT("'" &amp; E$3 &amp; "'!" &amp; $B10),"")</f>
        <v>225</v>
      </c>
      <c r="F10" s="114" cm="1">
        <f t="array" aca="1" ref="F10" ca="1">IFERROR(INDIRECT("'" &amp; F$3 &amp; "'!" &amp; $B10),"")</f>
        <v>225</v>
      </c>
      <c r="G10" s="114" cm="1">
        <f t="array" aca="1" ref="G10" ca="1">IFERROR(INDIRECT("'" &amp; G$3 &amp; "'!" &amp; $B10),"")</f>
        <v>225</v>
      </c>
      <c r="H10" s="114" cm="1">
        <f t="array" aca="1" ref="H10" ca="1">IFERROR(INDIRECT("'" &amp; H$3 &amp; "'!" &amp; $B10),"")</f>
        <v>225</v>
      </c>
      <c r="I10" s="114" cm="1">
        <f t="array" aca="1" ref="I10" ca="1">IFERROR(INDIRECT("'" &amp; I$3 &amp; "'!" &amp; $B10),"")</f>
        <v>225</v>
      </c>
      <c r="J10" s="114" cm="1">
        <f t="array" aca="1" ref="J10" ca="1">IFERROR(INDIRECT("'" &amp; J$3 &amp; "'!" &amp; $B10),"")</f>
        <v>225</v>
      </c>
      <c r="K10" s="114" t="str" cm="1">
        <f t="array" aca="1" ref="K10" ca="1">IFERROR(INDIRECT("'" &amp; K$3 &amp; "'!" &amp; $B10),"")</f>
        <v/>
      </c>
      <c r="L10" s="114" t="str" cm="1">
        <f t="array" aca="1" ref="L10" ca="1">IFERROR(INDIRECT("'" &amp; L$3 &amp; "'!" &amp; $B10),"")</f>
        <v/>
      </c>
      <c r="M10" s="114" t="str" cm="1">
        <f t="array" aca="1" ref="M10" ca="1">IFERROR(INDIRECT("'" &amp; M$3 &amp; "'!" &amp; $B10),"")</f>
        <v/>
      </c>
      <c r="N10" s="114" t="str" cm="1">
        <f t="array" aca="1" ref="N10" ca="1">IFERROR(INDIRECT("'" &amp; N$3 &amp; "'!" &amp; $B10),"")</f>
        <v/>
      </c>
      <c r="O10" s="114" t="str" cm="1">
        <f t="array" aca="1" ref="O10" ca="1">IFERROR(INDIRECT("'" &amp; O$3 &amp; "'!" &amp; $B10),"")</f>
        <v/>
      </c>
      <c r="P10" s="114" t="str" cm="1">
        <f t="array" aca="1" ref="P10" ca="1">IFERROR(INDIRECT("'" &amp; P$3 &amp; "'!" &amp; $B10),"")</f>
        <v/>
      </c>
      <c r="Q10" s="114" t="str" cm="1">
        <f t="array" aca="1" ref="Q10" ca="1">IFERROR(INDIRECT("'" &amp; Q$3 &amp; "'!" &amp; $B10),"")</f>
        <v/>
      </c>
      <c r="R10" s="114" t="str" cm="1">
        <f t="array" aca="1" ref="R10" ca="1">IFERROR(INDIRECT("'" &amp; R$3 &amp; "'!" &amp; $B10),"")</f>
        <v/>
      </c>
      <c r="T10" s="375"/>
      <c r="U10" s="375"/>
      <c r="V10" s="375"/>
    </row>
    <row r="11" spans="1:22" outlineLevel="1">
      <c r="A11" s="112" t="s">
        <v>293</v>
      </c>
      <c r="B11" s="112" t="str">
        <f>IFERROR(_xlfn.XLOOKUP(A11,Listes!$F$2:$F$50,Listes!$G$2:$G$50,""),"")</f>
        <v>G46</v>
      </c>
      <c r="C11" s="115" cm="1">
        <f t="array" aca="1" ref="C11" ca="1">IFERROR(INDIRECT("'" &amp; C$3 &amp; "'!" &amp; $B11),"")</f>
        <v>1.1721824444444444</v>
      </c>
      <c r="D11" s="115" cm="1">
        <f t="array" aca="1" ref="D11" ca="1">IFERROR(INDIRECT("'" &amp; D$3 &amp; "'!" &amp; $B11),"")</f>
        <v>1.1721824444444444</v>
      </c>
      <c r="E11" s="115" cm="1">
        <f t="array" aca="1" ref="E11" ca="1">IFERROR(INDIRECT("'" &amp; E$3 &amp; "'!" &amp; $B11),"")</f>
        <v>1.1721824444444444</v>
      </c>
      <c r="F11" s="115" cm="1">
        <f t="array" aca="1" ref="F11" ca="1">IFERROR(INDIRECT("'" &amp; F$3 &amp; "'!" &amp; $B11),"")</f>
        <v>1.1721824444444444</v>
      </c>
      <c r="G11" s="115" cm="1">
        <f t="array" aca="1" ref="G11" ca="1">IFERROR(INDIRECT("'" &amp; G$3 &amp; "'!" &amp; $B11),"")</f>
        <v>1.1721824444444444</v>
      </c>
      <c r="H11" s="115" cm="1">
        <f t="array" aca="1" ref="H11" ca="1">IFERROR(INDIRECT("'" &amp; H$3 &amp; "'!" &amp; $B11),"")</f>
        <v>1.1721824444444444</v>
      </c>
      <c r="I11" s="114" cm="1">
        <f t="array" aca="1" ref="I11" ca="1">IFERROR(INDIRECT("'" &amp; I$3 &amp; "'!" &amp; $B11),"")</f>
        <v>1.1721824444444444</v>
      </c>
      <c r="J11" s="114" cm="1">
        <f t="array" aca="1" ref="J11" ca="1">IFERROR(INDIRECT("'" &amp; J$3 &amp; "'!" &amp; $B11),"")</f>
        <v>1.1721824444444444</v>
      </c>
      <c r="K11" s="114" t="str" cm="1">
        <f t="array" aca="1" ref="K11" ca="1">IFERROR(INDIRECT("'" &amp; K$3 &amp; "'!" &amp; $B11),"")</f>
        <v/>
      </c>
      <c r="L11" s="114" t="str" cm="1">
        <f t="array" aca="1" ref="L11" ca="1">IFERROR(INDIRECT("'" &amp; L$3 &amp; "'!" &amp; $B11),"")</f>
        <v/>
      </c>
      <c r="M11" s="114" t="str" cm="1">
        <f t="array" aca="1" ref="M11" ca="1">IFERROR(INDIRECT("'" &amp; M$3 &amp; "'!" &amp; $B11),"")</f>
        <v/>
      </c>
      <c r="N11" s="114" t="str" cm="1">
        <f t="array" aca="1" ref="N11" ca="1">IFERROR(INDIRECT("'" &amp; N$3 &amp; "'!" &amp; $B11),"")</f>
        <v/>
      </c>
      <c r="O11" s="114" t="str" cm="1">
        <f t="array" aca="1" ref="O11" ca="1">IFERROR(INDIRECT("'" &amp; O$3 &amp; "'!" &amp; $B11),"")</f>
        <v/>
      </c>
      <c r="P11" s="114" t="str" cm="1">
        <f t="array" aca="1" ref="P11" ca="1">IFERROR(INDIRECT("'" &amp; P$3 &amp; "'!" &amp; $B11),"")</f>
        <v/>
      </c>
      <c r="Q11" s="114" t="str" cm="1">
        <f t="array" aca="1" ref="Q11" ca="1">IFERROR(INDIRECT("'" &amp; Q$3 &amp; "'!" &amp; $B11),"")</f>
        <v/>
      </c>
      <c r="R11" s="114" t="str" cm="1">
        <f t="array" aca="1" ref="R11" ca="1">IFERROR(INDIRECT("'" &amp; R$3 &amp; "'!" &amp; $B11),"")</f>
        <v/>
      </c>
      <c r="T11" s="375"/>
      <c r="U11" s="375"/>
      <c r="V11" s="375"/>
    </row>
    <row r="12" spans="1:22" outlineLevel="1">
      <c r="A12" s="112" t="s">
        <v>408</v>
      </c>
      <c r="B12" s="112" t="str">
        <f>IFERROR(_xlfn.XLOOKUP(A12,Listes!$F$2:$F$50,Listes!$G$2:$G$50,""),"")</f>
        <v>G50</v>
      </c>
      <c r="C12" s="115" cm="1">
        <f t="array" aca="1" ref="C12" ca="1">IFERROR(INDIRECT("'" &amp; C$3 &amp; "'!" &amp; $B12),"")</f>
        <v>2.8878175555555554</v>
      </c>
      <c r="D12" s="115" cm="1">
        <f t="array" aca="1" ref="D12" ca="1">IFERROR(INDIRECT("'" &amp; D$3 &amp; "'!" &amp; $B12),"")</f>
        <v>2.8878175555555554</v>
      </c>
      <c r="E12" s="115" cm="1">
        <f t="array" aca="1" ref="E12" ca="1">IFERROR(INDIRECT("'" &amp; E$3 &amp; "'!" &amp; $B12),"")</f>
        <v>2.8878175555555554</v>
      </c>
      <c r="F12" s="115" cm="1">
        <f t="array" aca="1" ref="F12" ca="1">IFERROR(INDIRECT("'" &amp; F$3 &amp; "'!" &amp; $B12),"")</f>
        <v>2.8878175555555554</v>
      </c>
      <c r="G12" s="115" cm="1">
        <f t="array" aca="1" ref="G12" ca="1">IFERROR(INDIRECT("'" &amp; G$3 &amp; "'!" &amp; $B12),"")</f>
        <v>2.8878175555555554</v>
      </c>
      <c r="H12" s="115" cm="1">
        <f t="array" aca="1" ref="H12" ca="1">IFERROR(INDIRECT("'" &amp; H$3 &amp; "'!" &amp; $B12),"")</f>
        <v>2.8878175555555554</v>
      </c>
      <c r="I12" s="115" cm="1">
        <f t="array" aca="1" ref="I12" ca="1">IFERROR(INDIRECT("'" &amp; I$3 &amp; "'!" &amp; $B12),"")</f>
        <v>2.8878175555555554</v>
      </c>
      <c r="J12" s="115" cm="1">
        <f t="array" aca="1" ref="J12" ca="1">IFERROR(INDIRECT("'" &amp; J$3 &amp; "'!" &amp; $B12),"")</f>
        <v>2.8878175555555554</v>
      </c>
      <c r="K12" s="115" t="str" cm="1">
        <f t="array" aca="1" ref="K12" ca="1">IFERROR(INDIRECT("'" &amp; K$3 &amp; "'!" &amp; $B12),"")</f>
        <v/>
      </c>
      <c r="L12" s="115" t="str" cm="1">
        <f t="array" aca="1" ref="L12" ca="1">IFERROR(INDIRECT("'" &amp; L$3 &amp; "'!" &amp; $B12),"")</f>
        <v/>
      </c>
      <c r="M12" s="115" t="str" cm="1">
        <f t="array" aca="1" ref="M12" ca="1">IFERROR(INDIRECT("'" &amp; M$3 &amp; "'!" &amp; $B12),"")</f>
        <v/>
      </c>
      <c r="N12" s="115" t="str" cm="1">
        <f t="array" aca="1" ref="N12" ca="1">IFERROR(INDIRECT("'" &amp; N$3 &amp; "'!" &amp; $B12),"")</f>
        <v/>
      </c>
      <c r="O12" s="115" t="str" cm="1">
        <f t="array" aca="1" ref="O12" ca="1">IFERROR(INDIRECT("'" &amp; O$3 &amp; "'!" &amp; $B12),"")</f>
        <v/>
      </c>
      <c r="P12" s="115" t="str" cm="1">
        <f t="array" aca="1" ref="P12" ca="1">IFERROR(INDIRECT("'" &amp; P$3 &amp; "'!" &amp; $B12),"")</f>
        <v/>
      </c>
      <c r="Q12" s="115" t="str" cm="1">
        <f t="array" aca="1" ref="Q12" ca="1">IFERROR(INDIRECT("'" &amp; Q$3 &amp; "'!" &amp; $B12),"")</f>
        <v/>
      </c>
      <c r="R12" s="115" t="str" cm="1">
        <f t="array" aca="1" ref="R12" ca="1">IFERROR(INDIRECT("'" &amp; R$3 &amp; "'!" &amp; $B12),"")</f>
        <v/>
      </c>
      <c r="T12" s="375"/>
      <c r="U12" s="375"/>
      <c r="V12" s="375"/>
    </row>
    <row r="13" spans="1:22" outlineLevel="1">
      <c r="A13" s="112" t="s">
        <v>409</v>
      </c>
      <c r="B13" s="112" t="str">
        <f>IFERROR(_xlfn.XLOOKUP(A13,Listes!$F$2:$F$50,Listes!$G$2:$G$50,""),"")</f>
        <v>K50</v>
      </c>
      <c r="C13" s="115" cm="1">
        <f t="array" aca="1" ref="C13" ca="1">IFERROR(INDIRECT("'" &amp; C$3 &amp; "'!" &amp; $B13),"")</f>
        <v>3.497628876310273</v>
      </c>
      <c r="D13" s="115" cm="1">
        <f t="array" aca="1" ref="D13" ca="1">IFERROR(INDIRECT("'" &amp; D$3 &amp; "'!" &amp; $B13),"")</f>
        <v>3.497628876310273</v>
      </c>
      <c r="E13" s="115" cm="1">
        <f t="array" aca="1" ref="E13" ca="1">IFERROR(INDIRECT("'" &amp; E$3 &amp; "'!" &amp; $B13),"")</f>
        <v>3.497628876310273</v>
      </c>
      <c r="F13" s="115" cm="1">
        <f t="array" aca="1" ref="F13" ca="1">IFERROR(INDIRECT("'" &amp; F$3 &amp; "'!" &amp; $B13),"")</f>
        <v>3.497628876310273</v>
      </c>
      <c r="G13" s="115" cm="1">
        <f t="array" aca="1" ref="G13" ca="1">IFERROR(INDIRECT("'" &amp; G$3 &amp; "'!" &amp; $B13),"")</f>
        <v>3.497628876310273</v>
      </c>
      <c r="H13" s="115" cm="1">
        <f t="array" aca="1" ref="H13" ca="1">IFERROR(INDIRECT("'" &amp; H$3 &amp; "'!" &amp; $B13),"")</f>
        <v>3.497628876310273</v>
      </c>
      <c r="I13" s="115" cm="1">
        <f t="array" aca="1" ref="I13" ca="1">IFERROR(INDIRECT("'" &amp; I$3 &amp; "'!" &amp; $B13),"")</f>
        <v>3.497628876310273</v>
      </c>
      <c r="J13" s="115" cm="1">
        <f t="array" aca="1" ref="J13" ca="1">IFERROR(INDIRECT("'" &amp; J$3 &amp; "'!" &amp; $B13),"")</f>
        <v>3.497628876310273</v>
      </c>
      <c r="K13" s="115" t="str" cm="1">
        <f t="array" aca="1" ref="K13" ca="1">IFERROR(INDIRECT("'" &amp; K$3 &amp; "'!" &amp; $B13),"")</f>
        <v/>
      </c>
      <c r="L13" s="115" t="str" cm="1">
        <f t="array" aca="1" ref="L13" ca="1">IFERROR(INDIRECT("'" &amp; L$3 &amp; "'!" &amp; $B13),"")</f>
        <v/>
      </c>
      <c r="M13" s="115" t="str" cm="1">
        <f t="array" aca="1" ref="M13" ca="1">IFERROR(INDIRECT("'" &amp; M$3 &amp; "'!" &amp; $B13),"")</f>
        <v/>
      </c>
      <c r="N13" s="115" t="str" cm="1">
        <f t="array" aca="1" ref="N13" ca="1">IFERROR(INDIRECT("'" &amp; N$3 &amp; "'!" &amp; $B13),"")</f>
        <v/>
      </c>
      <c r="O13" s="115" t="str" cm="1">
        <f t="array" aca="1" ref="O13" ca="1">IFERROR(INDIRECT("'" &amp; O$3 &amp; "'!" &amp; $B13),"")</f>
        <v/>
      </c>
      <c r="P13" s="115" t="str" cm="1">
        <f t="array" aca="1" ref="P13" ca="1">IFERROR(INDIRECT("'" &amp; P$3 &amp; "'!" &amp; $B13),"")</f>
        <v/>
      </c>
      <c r="Q13" s="115" t="str" cm="1">
        <f t="array" aca="1" ref="Q13" ca="1">IFERROR(INDIRECT("'" &amp; Q$3 &amp; "'!" &amp; $B13),"")</f>
        <v/>
      </c>
      <c r="R13" s="115" t="str" cm="1">
        <f t="array" aca="1" ref="R13" ca="1">IFERROR(INDIRECT("'" &amp; R$3 &amp; "'!" &amp; $B13),"")</f>
        <v/>
      </c>
      <c r="T13" s="375"/>
      <c r="U13" s="375"/>
      <c r="V13" s="375"/>
    </row>
    <row r="14" spans="1:22" outlineLevel="1">
      <c r="A14" s="110" t="s">
        <v>420</v>
      </c>
      <c r="B14" s="112" t="str">
        <f>IFERROR(_xlfn.XLOOKUP(A14,Listes!$F$2:$F$50,Listes!$G$2:$G$50,""),"")</f>
        <v>G55</v>
      </c>
      <c r="C14" s="117" cm="1">
        <f t="array" aca="1" ref="C14" ca="1">IFERROR(INDIRECT("'" &amp; C$3 &amp; "'!" &amp; $B14),"")</f>
        <v>0.28871488779419818</v>
      </c>
      <c r="D14" s="117" cm="1">
        <f t="array" aca="1" ref="D14" ca="1">IFERROR(INDIRECT("'" &amp; D$3 &amp; "'!" &amp; $B14),"")</f>
        <v>0.28871488779419818</v>
      </c>
      <c r="E14" s="117" cm="1">
        <f t="array" aca="1" ref="E14" ca="1">IFERROR(INDIRECT("'" &amp; E$3 &amp; "'!" &amp; $B14),"")</f>
        <v>0.28871488779419818</v>
      </c>
      <c r="F14" s="117" cm="1">
        <f t="array" aca="1" ref="F14" ca="1">IFERROR(INDIRECT("'" &amp; F$3 &amp; "'!" &amp; $B14),"")</f>
        <v>0.28871488779419818</v>
      </c>
      <c r="G14" s="117" cm="1">
        <f t="array" aca="1" ref="G14" ca="1">IFERROR(INDIRECT("'" &amp; G$3 &amp; "'!" &amp; $B14),"")</f>
        <v>0.28871488779419818</v>
      </c>
      <c r="H14" s="117" cm="1">
        <f t="array" aca="1" ref="H14" ca="1">IFERROR(INDIRECT("'" &amp; H$3 &amp; "'!" &amp; $B14),"")</f>
        <v>0.28871488779419818</v>
      </c>
      <c r="I14" s="117" cm="1">
        <f t="array" aca="1" ref="I14" ca="1">IFERROR(INDIRECT("'" &amp; I$3 &amp; "'!" &amp; $B14),"")</f>
        <v>0.28871488779419818</v>
      </c>
      <c r="J14" s="117" cm="1">
        <f t="array" aca="1" ref="J14" ca="1">IFERROR(INDIRECT("'" &amp; J$3 &amp; "'!" &amp; $B14),"")</f>
        <v>0.28871488779419818</v>
      </c>
      <c r="K14" s="117" t="str" cm="1">
        <f t="array" aca="1" ref="K14" ca="1">IFERROR(INDIRECT("'" &amp; K$3 &amp; "'!" &amp; $B14),"")</f>
        <v/>
      </c>
      <c r="L14" s="117" t="str" cm="1">
        <f t="array" aca="1" ref="L14" ca="1">IFERROR(INDIRECT("'" &amp; L$3 &amp; "'!" &amp; $B14),"")</f>
        <v/>
      </c>
      <c r="M14" s="117" t="str" cm="1">
        <f t="array" aca="1" ref="M14" ca="1">IFERROR(INDIRECT("'" &amp; M$3 &amp; "'!" &amp; $B14),"")</f>
        <v/>
      </c>
      <c r="N14" s="117" t="str" cm="1">
        <f t="array" aca="1" ref="N14" ca="1">IFERROR(INDIRECT("'" &amp; N$3 &amp; "'!" &amp; $B14),"")</f>
        <v/>
      </c>
      <c r="O14" s="117" t="str" cm="1">
        <f t="array" aca="1" ref="O14" ca="1">IFERROR(INDIRECT("'" &amp; O$3 &amp; "'!" &amp; $B14),"")</f>
        <v/>
      </c>
      <c r="P14" s="117" t="str" cm="1">
        <f t="array" aca="1" ref="P14" ca="1">IFERROR(INDIRECT("'" &amp; P$3 &amp; "'!" &amp; $B14),"")</f>
        <v/>
      </c>
      <c r="Q14" s="117" t="str" cm="1">
        <f t="array" aca="1" ref="Q14" ca="1">IFERROR(INDIRECT("'" &amp; Q$3 &amp; "'!" &amp; $B14),"")</f>
        <v/>
      </c>
      <c r="R14" s="117" t="str" cm="1">
        <f t="array" aca="1" ref="R14" ca="1">IFERROR(INDIRECT("'" &amp; R$3 &amp; "'!" &amp; $B14),"")</f>
        <v/>
      </c>
      <c r="T14" s="375"/>
      <c r="U14" s="375"/>
      <c r="V14" s="375"/>
    </row>
    <row r="15" spans="1:22" outlineLevel="1">
      <c r="A15" s="110" t="s">
        <v>424</v>
      </c>
      <c r="B15" s="112" t="str">
        <f>IFERROR(_xlfn.XLOOKUP(A15,Listes!$F$2:$F$50,Listes!$G$2:$G$50,""),"")</f>
        <v>K55</v>
      </c>
      <c r="C15" s="117" cm="1">
        <f t="array" aca="1" ref="C15" ca="1">IFERROR(INDIRECT("'" &amp; C$3 &amp; "'!" &amp; $B15),"")</f>
        <v>0.25101280628507294</v>
      </c>
      <c r="D15" s="117" cm="1">
        <f t="array" aca="1" ref="D15" ca="1">IFERROR(INDIRECT("'" &amp; D$3 &amp; "'!" &amp; $B15),"")</f>
        <v>0.25101280628507294</v>
      </c>
      <c r="E15" s="117" cm="1">
        <f t="array" aca="1" ref="E15" ca="1">IFERROR(INDIRECT("'" &amp; E$3 &amp; "'!" &amp; $B15),"")</f>
        <v>0.25101280628507294</v>
      </c>
      <c r="F15" s="117" cm="1">
        <f t="array" aca="1" ref="F15" ca="1">IFERROR(INDIRECT("'" &amp; F$3 &amp; "'!" &amp; $B15),"")</f>
        <v>0.25101280628507294</v>
      </c>
      <c r="G15" s="117" cm="1">
        <f t="array" aca="1" ref="G15" ca="1">IFERROR(INDIRECT("'" &amp; G$3 &amp; "'!" &amp; $B15),"")</f>
        <v>0.25101280628507294</v>
      </c>
      <c r="H15" s="117" cm="1">
        <f t="array" aca="1" ref="H15" ca="1">IFERROR(INDIRECT("'" &amp; H$3 &amp; "'!" &amp; $B15),"")</f>
        <v>0.25101280628507294</v>
      </c>
      <c r="I15" s="117" cm="1">
        <f t="array" aca="1" ref="I15" ca="1">IFERROR(INDIRECT("'" &amp; I$3 &amp; "'!" &amp; $B15),"")</f>
        <v>0.25101280628507294</v>
      </c>
      <c r="J15" s="117" cm="1">
        <f t="array" aca="1" ref="J15" ca="1">IFERROR(INDIRECT("'" &amp; J$3 &amp; "'!" &amp; $B15),"")</f>
        <v>0.25101280628507294</v>
      </c>
      <c r="K15" s="117" t="str" cm="1">
        <f t="array" aca="1" ref="K15" ca="1">IFERROR(INDIRECT("'" &amp; K$3 &amp; "'!" &amp; $B15),"")</f>
        <v/>
      </c>
      <c r="L15" s="117" t="str" cm="1">
        <f t="array" aca="1" ref="L15" ca="1">IFERROR(INDIRECT("'" &amp; L$3 &amp; "'!" &amp; $B15),"")</f>
        <v/>
      </c>
      <c r="M15" s="117" t="str" cm="1">
        <f t="array" aca="1" ref="M15" ca="1">IFERROR(INDIRECT("'" &amp; M$3 &amp; "'!" &amp; $B15),"")</f>
        <v/>
      </c>
      <c r="N15" s="117" t="str" cm="1">
        <f t="array" aca="1" ref="N15" ca="1">IFERROR(INDIRECT("'" &amp; N$3 &amp; "'!" &amp; $B15),"")</f>
        <v/>
      </c>
      <c r="O15" s="117" t="str" cm="1">
        <f t="array" aca="1" ref="O15" ca="1">IFERROR(INDIRECT("'" &amp; O$3 &amp; "'!" &amp; $B15),"")</f>
        <v/>
      </c>
      <c r="P15" s="117" t="str" cm="1">
        <f t="array" aca="1" ref="P15" ca="1">IFERROR(INDIRECT("'" &amp; P$3 &amp; "'!" &amp; $B15),"")</f>
        <v/>
      </c>
      <c r="Q15" s="117" t="str" cm="1">
        <f t="array" aca="1" ref="Q15" ca="1">IFERROR(INDIRECT("'" &amp; Q$3 &amp; "'!" &amp; $B15),"")</f>
        <v/>
      </c>
      <c r="R15" s="117" t="str" cm="1">
        <f t="array" aca="1" ref="R15" ca="1">IFERROR(INDIRECT("'" &amp; R$3 &amp; "'!" &amp; $B15),"")</f>
        <v/>
      </c>
      <c r="T15" s="375"/>
      <c r="U15" s="375"/>
      <c r="V15" s="375"/>
    </row>
    <row r="16" spans="1:22" outlineLevel="1">
      <c r="A16" s="110" t="s">
        <v>423</v>
      </c>
      <c r="B16" s="112" t="str">
        <f>IFERROR(_xlfn.XLOOKUP(A16,Listes!$F$2:$F$50,Listes!$G$2:$G$50,""),"")</f>
        <v>H33</v>
      </c>
      <c r="C16" s="117" cm="1">
        <f t="array" aca="1" ref="C16" ca="1">IFERROR(INDIRECT("'" &amp; C$3 &amp; "'!" &amp; $B16),"")</f>
        <v>0.72032302138783477</v>
      </c>
      <c r="D16" s="117" cm="1">
        <f t="array" aca="1" ref="D16" ca="1">IFERROR(INDIRECT("'" &amp; D$3 &amp; "'!" &amp; $B16),"")</f>
        <v>0.72032302138783477</v>
      </c>
      <c r="E16" s="117" cm="1">
        <f t="array" aca="1" ref="E16" ca="1">IFERROR(INDIRECT("'" &amp; E$3 &amp; "'!" &amp; $B16),"")</f>
        <v>0.72032302138783477</v>
      </c>
      <c r="F16" s="117" cm="1">
        <f t="array" aca="1" ref="F16" ca="1">IFERROR(INDIRECT("'" &amp; F$3 &amp; "'!" &amp; $B16),"")</f>
        <v>0.72032302138783477</v>
      </c>
      <c r="G16" s="117" cm="1">
        <f t="array" aca="1" ref="G16" ca="1">IFERROR(INDIRECT("'" &amp; G$3 &amp; "'!" &amp; $B16),"")</f>
        <v>0.72032302138783477</v>
      </c>
      <c r="H16" s="117" cm="1">
        <f t="array" aca="1" ref="H16" ca="1">IFERROR(INDIRECT("'" &amp; H$3 &amp; "'!" &amp; $B16),"")</f>
        <v>0.72032302138783477</v>
      </c>
      <c r="I16" s="117" cm="1">
        <f t="array" aca="1" ref="I16" ca="1">IFERROR(INDIRECT("'" &amp; I$3 &amp; "'!" &amp; $B16),"")</f>
        <v>0.72032302138783477</v>
      </c>
      <c r="J16" s="117" cm="1">
        <f t="array" aca="1" ref="J16" ca="1">IFERROR(INDIRECT("'" &amp; J$3 &amp; "'!" &amp; $B16),"")</f>
        <v>0.72032302138783477</v>
      </c>
      <c r="K16" s="117" t="str" cm="1">
        <f t="array" aca="1" ref="K16" ca="1">IFERROR(INDIRECT("'" &amp; K$3 &amp; "'!" &amp; $B16),"")</f>
        <v/>
      </c>
      <c r="L16" s="117" t="str" cm="1">
        <f t="array" aca="1" ref="L16" ca="1">IFERROR(INDIRECT("'" &amp; L$3 &amp; "'!" &amp; $B16),"")</f>
        <v/>
      </c>
      <c r="M16" s="117" t="str" cm="1">
        <f t="array" aca="1" ref="M16" ca="1">IFERROR(INDIRECT("'" &amp; M$3 &amp; "'!" &amp; $B16),"")</f>
        <v/>
      </c>
      <c r="N16" s="117" t="str" cm="1">
        <f t="array" aca="1" ref="N16" ca="1">IFERROR(INDIRECT("'" &amp; N$3 &amp; "'!" &amp; $B16),"")</f>
        <v/>
      </c>
      <c r="O16" s="117" t="str" cm="1">
        <f t="array" aca="1" ref="O16" ca="1">IFERROR(INDIRECT("'" &amp; O$3 &amp; "'!" &amp; $B16),"")</f>
        <v/>
      </c>
      <c r="P16" s="117" t="str" cm="1">
        <f t="array" aca="1" ref="P16" ca="1">IFERROR(INDIRECT("'" &amp; P$3 &amp; "'!" &amp; $B16),"")</f>
        <v/>
      </c>
      <c r="Q16" s="117" t="str" cm="1">
        <f t="array" aca="1" ref="Q16" ca="1">IFERROR(INDIRECT("'" &amp; Q$3 &amp; "'!" &amp; $B16),"")</f>
        <v/>
      </c>
      <c r="R16" s="117" t="str" cm="1">
        <f t="array" aca="1" ref="R16" ca="1">IFERROR(INDIRECT("'" &amp; R$3 &amp; "'!" &amp; $B16),"")</f>
        <v/>
      </c>
      <c r="T16" s="375"/>
      <c r="U16" s="375"/>
      <c r="V16" s="375"/>
    </row>
    <row r="17" spans="1:22" outlineLevel="1">
      <c r="A17" s="110" t="s">
        <v>412</v>
      </c>
      <c r="B17" s="112" t="str">
        <f>IFERROR(_xlfn.XLOOKUP(A17,Listes!$F$2:$F$50,Listes!$G$2:$G$50,""),"")</f>
        <v>H43</v>
      </c>
      <c r="C17" s="117" cm="1">
        <f t="array" aca="1" ref="C17" ca="1">IFERROR(INDIRECT("'" &amp; C$3 &amp; "'!" &amp; $B17),"")</f>
        <v>0.27414389985935073</v>
      </c>
      <c r="D17" s="117" cm="1">
        <f t="array" aca="1" ref="D17" ca="1">IFERROR(INDIRECT("'" &amp; D$3 &amp; "'!" &amp; $B17),"")</f>
        <v>0.27414389985935073</v>
      </c>
      <c r="E17" s="117" cm="1">
        <f t="array" aca="1" ref="E17" ca="1">IFERROR(INDIRECT("'" &amp; E$3 &amp; "'!" &amp; $B17),"")</f>
        <v>0.27414389985935073</v>
      </c>
      <c r="F17" s="117" cm="1">
        <f t="array" aca="1" ref="F17" ca="1">IFERROR(INDIRECT("'" &amp; F$3 &amp; "'!" &amp; $B17),"")</f>
        <v>0.27414389985935073</v>
      </c>
      <c r="G17" s="117" cm="1">
        <f t="array" aca="1" ref="G17" ca="1">IFERROR(INDIRECT("'" &amp; G$3 &amp; "'!" &amp; $B17),"")</f>
        <v>0.27414389985935073</v>
      </c>
      <c r="H17" s="117" cm="1">
        <f t="array" aca="1" ref="H17" ca="1">IFERROR(INDIRECT("'" &amp; H$3 &amp; "'!" &amp; $B17),"")</f>
        <v>0.27414389985935073</v>
      </c>
      <c r="I17" s="117" cm="1">
        <f t="array" aca="1" ref="I17" ca="1">IFERROR(INDIRECT("'" &amp; I$3 &amp; "'!" &amp; $B17),"")</f>
        <v>0.27414389985935073</v>
      </c>
      <c r="J17" s="117" cm="1">
        <f t="array" aca="1" ref="J17" ca="1">IFERROR(INDIRECT("'" &amp; J$3 &amp; "'!" &amp; $B17),"")</f>
        <v>0.27414389985935073</v>
      </c>
      <c r="K17" s="117" t="str" cm="1">
        <f t="array" aca="1" ref="K17" ca="1">IFERROR(INDIRECT("'" &amp; K$3 &amp; "'!" &amp; $B17),"")</f>
        <v/>
      </c>
      <c r="L17" s="117" t="str" cm="1">
        <f t="array" aca="1" ref="L17" ca="1">IFERROR(INDIRECT("'" &amp; L$3 &amp; "'!" &amp; $B17),"")</f>
        <v/>
      </c>
      <c r="M17" s="117" t="str" cm="1">
        <f t="array" aca="1" ref="M17" ca="1">IFERROR(INDIRECT("'" &amp; M$3 &amp; "'!" &amp; $B17),"")</f>
        <v/>
      </c>
      <c r="N17" s="117" t="str" cm="1">
        <f t="array" aca="1" ref="N17" ca="1">IFERROR(INDIRECT("'" &amp; N$3 &amp; "'!" &amp; $B17),"")</f>
        <v/>
      </c>
      <c r="O17" s="117" t="str" cm="1">
        <f t="array" aca="1" ref="O17" ca="1">IFERROR(INDIRECT("'" &amp; O$3 &amp; "'!" &amp; $B17),"")</f>
        <v/>
      </c>
      <c r="P17" s="117" t="str" cm="1">
        <f t="array" aca="1" ref="P17" ca="1">IFERROR(INDIRECT("'" &amp; P$3 &amp; "'!" &amp; $B17),"")</f>
        <v/>
      </c>
      <c r="Q17" s="117" t="str" cm="1">
        <f t="array" aca="1" ref="Q17" ca="1">IFERROR(INDIRECT("'" &amp; Q$3 &amp; "'!" &amp; $B17),"")</f>
        <v/>
      </c>
      <c r="R17" s="117" t="str" cm="1">
        <f t="array" aca="1" ref="R17" ca="1">IFERROR(INDIRECT("'" &amp; R$3 &amp; "'!" &amp; $B17),"")</f>
        <v/>
      </c>
      <c r="T17" s="375"/>
      <c r="U17" s="375"/>
      <c r="V17" s="375"/>
    </row>
    <row r="18" spans="1:22" outlineLevel="1">
      <c r="A18" s="110" t="s">
        <v>413</v>
      </c>
      <c r="B18" s="112" t="str">
        <f>IFERROR(_xlfn.XLOOKUP(A18,Listes!$F$2:$F$50,Listes!$G$2:$G$50,""),"")</f>
        <v>H44</v>
      </c>
      <c r="C18" s="117" cm="1">
        <f t="array" aca="1" ref="C18" ca="1">IFERROR(INDIRECT("'" &amp; C$3 &amp; "'!" &amp; $B18),"")</f>
        <v>5.5330787528145515E-3</v>
      </c>
      <c r="D18" s="117" cm="1">
        <f t="array" aca="1" ref="D18" ca="1">IFERROR(INDIRECT("'" &amp; D$3 &amp; "'!" &amp; $B18),"")</f>
        <v>5.5330787528145515E-3</v>
      </c>
      <c r="E18" s="117" cm="1">
        <f t="array" aca="1" ref="E18" ca="1">IFERROR(INDIRECT("'" &amp; E$3 &amp; "'!" &amp; $B18),"")</f>
        <v>5.5330787528145515E-3</v>
      </c>
      <c r="F18" s="117" cm="1">
        <f t="array" aca="1" ref="F18" ca="1">IFERROR(INDIRECT("'" &amp; F$3 &amp; "'!" &amp; $B18),"")</f>
        <v>5.5330787528145515E-3</v>
      </c>
      <c r="G18" s="117" cm="1">
        <f t="array" aca="1" ref="G18" ca="1">IFERROR(INDIRECT("'" &amp; G$3 &amp; "'!" &amp; $B18),"")</f>
        <v>5.5330787528145515E-3</v>
      </c>
      <c r="H18" s="117" cm="1">
        <f t="array" aca="1" ref="H18" ca="1">IFERROR(INDIRECT("'" &amp; H$3 &amp; "'!" &amp; $B18),"")</f>
        <v>5.5330787528145515E-3</v>
      </c>
      <c r="I18" s="117" cm="1">
        <f t="array" aca="1" ref="I18" ca="1">IFERROR(INDIRECT("'" &amp; I$3 &amp; "'!" &amp; $B18),"")</f>
        <v>5.5330787528145515E-3</v>
      </c>
      <c r="J18" s="117" cm="1">
        <f t="array" aca="1" ref="J18" ca="1">IFERROR(INDIRECT("'" &amp; J$3 &amp; "'!" &amp; $B18),"")</f>
        <v>5.5330787528145515E-3</v>
      </c>
      <c r="K18" s="117" t="str" cm="1">
        <f t="array" aca="1" ref="K18" ca="1">IFERROR(INDIRECT("'" &amp; K$3 &amp; "'!" &amp; $B18),"")</f>
        <v/>
      </c>
      <c r="L18" s="117" t="str" cm="1">
        <f t="array" aca="1" ref="L18" ca="1">IFERROR(INDIRECT("'" &amp; L$3 &amp; "'!" &amp; $B18),"")</f>
        <v/>
      </c>
      <c r="M18" s="117" t="str" cm="1">
        <f t="array" aca="1" ref="M18" ca="1">IFERROR(INDIRECT("'" &amp; M$3 &amp; "'!" &amp; $B18),"")</f>
        <v/>
      </c>
      <c r="N18" s="117" t="str" cm="1">
        <f t="array" aca="1" ref="N18" ca="1">IFERROR(INDIRECT("'" &amp; N$3 &amp; "'!" &amp; $B18),"")</f>
        <v/>
      </c>
      <c r="O18" s="117" t="str" cm="1">
        <f t="array" aca="1" ref="O18" ca="1">IFERROR(INDIRECT("'" &amp; O$3 &amp; "'!" &amp; $B18),"")</f>
        <v/>
      </c>
      <c r="P18" s="117" t="str" cm="1">
        <f t="array" aca="1" ref="P18" ca="1">IFERROR(INDIRECT("'" &amp; P$3 &amp; "'!" &amp; $B18),"")</f>
        <v/>
      </c>
      <c r="Q18" s="117" t="str" cm="1">
        <f t="array" aca="1" ref="Q18" ca="1">IFERROR(INDIRECT("'" &amp; Q$3 &amp; "'!" &amp; $B18),"")</f>
        <v/>
      </c>
      <c r="R18" s="117" t="str" cm="1">
        <f t="array" aca="1" ref="R18" ca="1">IFERROR(INDIRECT("'" &amp; R$3 &amp; "'!" &amp; $B18),"")</f>
        <v/>
      </c>
      <c r="T18" s="375"/>
      <c r="U18" s="375"/>
      <c r="V18" s="375"/>
    </row>
    <row r="19" spans="1:22" outlineLevel="1">
      <c r="A19" s="110" t="s">
        <v>538</v>
      </c>
      <c r="B19" s="112" t="str">
        <f>IFERROR(_xlfn.XLOOKUP(A19,Listes!$F$2:$F$50,Listes!$G$2:$G$50,""),"")</f>
        <v>C78</v>
      </c>
      <c r="C19" s="115" cm="1">
        <f t="array" aca="1" ref="C19" ca="1">IFERROR(INDIRECT("'" &amp; C$3 &amp; "'!" &amp; $B19),"")</f>
        <v>0.77777777777777779</v>
      </c>
      <c r="D19" s="115" cm="1">
        <f t="array" aca="1" ref="D19" ca="1">IFERROR(INDIRECT("'" &amp; D$3 &amp; "'!" &amp; $B19),"")</f>
        <v>0.77777777777777779</v>
      </c>
      <c r="E19" s="115" cm="1">
        <f t="array" aca="1" ref="E19" ca="1">IFERROR(INDIRECT("'" &amp; E$3 &amp; "'!" &amp; $B19),"")</f>
        <v>0.77777777777777779</v>
      </c>
      <c r="F19" s="115" cm="1">
        <f t="array" aca="1" ref="F19" ca="1">IFERROR(INDIRECT("'" &amp; F$3 &amp; "'!" &amp; $B19),"")</f>
        <v>0.77777777777777779</v>
      </c>
      <c r="G19" s="115" cm="1">
        <f t="array" aca="1" ref="G19" ca="1">IFERROR(INDIRECT("'" &amp; G$3 &amp; "'!" &amp; $B19),"")</f>
        <v>0.77777777777777779</v>
      </c>
      <c r="H19" s="115" cm="1">
        <f t="array" aca="1" ref="H19" ca="1">IFERROR(INDIRECT("'" &amp; H$3 &amp; "'!" &amp; $B19),"")</f>
        <v>0.77777777777777779</v>
      </c>
      <c r="I19" s="115" cm="1">
        <f t="array" aca="1" ref="I19" ca="1">IFERROR(INDIRECT("'" &amp; I$3 &amp; "'!" &amp; $B19),"")</f>
        <v>0.77777777777777779</v>
      </c>
      <c r="J19" s="115" cm="1">
        <f t="array" aca="1" ref="J19" ca="1">IFERROR(INDIRECT("'" &amp; J$3 &amp; "'!" &amp; $B19),"")</f>
        <v>0.77777777777777779</v>
      </c>
      <c r="K19" s="115" t="str" cm="1">
        <f t="array" aca="1" ref="K19" ca="1">IFERROR(INDIRECT("'" &amp; K$3 &amp; "'!" &amp; $B19),"")</f>
        <v/>
      </c>
      <c r="L19" s="115" t="str" cm="1">
        <f t="array" aca="1" ref="L19" ca="1">IFERROR(INDIRECT("'" &amp; L$3 &amp; "'!" &amp; $B19),"")</f>
        <v/>
      </c>
      <c r="M19" s="115" t="str" cm="1">
        <f t="array" aca="1" ref="M19" ca="1">IFERROR(INDIRECT("'" &amp; M$3 &amp; "'!" &amp; $B19),"")</f>
        <v/>
      </c>
      <c r="N19" s="115" t="str" cm="1">
        <f t="array" aca="1" ref="N19" ca="1">IFERROR(INDIRECT("'" &amp; N$3 &amp; "'!" &amp; $B19),"")</f>
        <v/>
      </c>
      <c r="O19" s="115" t="str" cm="1">
        <f t="array" aca="1" ref="O19" ca="1">IFERROR(INDIRECT("'" &amp; O$3 &amp; "'!" &amp; $B19),"")</f>
        <v/>
      </c>
      <c r="P19" s="115" t="str" cm="1">
        <f t="array" aca="1" ref="P19" ca="1">IFERROR(INDIRECT("'" &amp; P$3 &amp; "'!" &amp; $B19),"")</f>
        <v/>
      </c>
      <c r="Q19" s="115" t="str" cm="1">
        <f t="array" aca="1" ref="Q19" ca="1">IFERROR(INDIRECT("'" &amp; Q$3 &amp; "'!" &amp; $B19),"")</f>
        <v/>
      </c>
      <c r="R19" s="115" t="str" cm="1">
        <f t="array" aca="1" ref="R19" ca="1">IFERROR(INDIRECT("'" &amp; R$3 &amp; "'!" &amp; $B19),"")</f>
        <v/>
      </c>
      <c r="T19" s="375"/>
      <c r="U19" s="375"/>
      <c r="V19" s="375"/>
    </row>
    <row r="20" spans="1:22" outlineLevel="1">
      <c r="A20" s="110" t="s">
        <v>441</v>
      </c>
      <c r="B20" s="112" t="str">
        <f>IFERROR(_xlfn.XLOOKUP(A20,Listes!$F$2:$F$50,Listes!$G$2:$G$50,""),"")</f>
        <v>G52</v>
      </c>
      <c r="C20" s="115" cm="1">
        <f t="array" aca="1" ref="C20" ca="1">IFERROR(INDIRECT("'" &amp; C$3 &amp; "'!" &amp; $B20),"")</f>
        <v>135.36644791666666</v>
      </c>
      <c r="D20" s="115" cm="1">
        <f t="array" aca="1" ref="D20" ca="1">IFERROR(INDIRECT("'" &amp; D$3 &amp; "'!" &amp; $B20),"")</f>
        <v>135.36644791666666</v>
      </c>
      <c r="E20" s="115" cm="1">
        <f t="array" aca="1" ref="E20" ca="1">IFERROR(INDIRECT("'" &amp; E$3 &amp; "'!" &amp; $B20),"")</f>
        <v>135.36644791666666</v>
      </c>
      <c r="F20" s="115" cm="1">
        <f t="array" aca="1" ref="F20" ca="1">IFERROR(INDIRECT("'" &amp; F$3 &amp; "'!" &amp; $B20),"")</f>
        <v>135.36644791666666</v>
      </c>
      <c r="G20" s="115" cm="1">
        <f t="array" aca="1" ref="G20" ca="1">IFERROR(INDIRECT("'" &amp; G$3 &amp; "'!" &amp; $B20),"")</f>
        <v>135.36644791666666</v>
      </c>
      <c r="H20" s="115" cm="1">
        <f t="array" aca="1" ref="H20" ca="1">IFERROR(INDIRECT("'" &amp; H$3 &amp; "'!" &amp; $B20),"")</f>
        <v>135.36644791666666</v>
      </c>
      <c r="I20" s="115" cm="1">
        <f t="array" aca="1" ref="I20" ca="1">IFERROR(INDIRECT("'" &amp; I$3 &amp; "'!" &amp; $B20),"")</f>
        <v>135.36644791666666</v>
      </c>
      <c r="J20" s="115" cm="1">
        <f t="array" aca="1" ref="J20" ca="1">IFERROR(INDIRECT("'" &amp; J$3 &amp; "'!" &amp; $B20),"")</f>
        <v>135.36644791666666</v>
      </c>
      <c r="K20" s="115" t="str" cm="1">
        <f t="array" aca="1" ref="K20" ca="1">IFERROR(INDIRECT("'" &amp; K$3 &amp; "'!" &amp; $B20),"")</f>
        <v/>
      </c>
      <c r="L20" s="115" t="str" cm="1">
        <f t="array" aca="1" ref="L20" ca="1">IFERROR(INDIRECT("'" &amp; L$3 &amp; "'!" &amp; $B20),"")</f>
        <v/>
      </c>
      <c r="M20" s="115" t="str" cm="1">
        <f t="array" aca="1" ref="M20" ca="1">IFERROR(INDIRECT("'" &amp; M$3 &amp; "'!" &amp; $B20),"")</f>
        <v/>
      </c>
      <c r="N20" s="115" t="str" cm="1">
        <f t="array" aca="1" ref="N20" ca="1">IFERROR(INDIRECT("'" &amp; N$3 &amp; "'!" &amp; $B20),"")</f>
        <v/>
      </c>
      <c r="O20" s="115" t="str" cm="1">
        <f t="array" aca="1" ref="O20" ca="1">IFERROR(INDIRECT("'" &amp; O$3 &amp; "'!" &amp; $B20),"")</f>
        <v/>
      </c>
      <c r="P20" s="115" t="str" cm="1">
        <f t="array" aca="1" ref="P20" ca="1">IFERROR(INDIRECT("'" &amp; P$3 &amp; "'!" &amp; $B20),"")</f>
        <v/>
      </c>
      <c r="Q20" s="115" t="str" cm="1">
        <f t="array" aca="1" ref="Q20" ca="1">IFERROR(INDIRECT("'" &amp; Q$3 &amp; "'!" &amp; $B20),"")</f>
        <v/>
      </c>
      <c r="R20" s="115" t="str" cm="1">
        <f t="array" aca="1" ref="R20" ca="1">IFERROR(INDIRECT("'" &amp; R$3 &amp; "'!" &amp; $B20),"")</f>
        <v/>
      </c>
      <c r="T20" s="375"/>
      <c r="U20" s="375"/>
      <c r="V20" s="375"/>
    </row>
    <row r="21" spans="1:22" outlineLevel="1">
      <c r="A21" s="118" t="s">
        <v>442</v>
      </c>
      <c r="B21" s="112" t="str">
        <f>IFERROR(_xlfn.XLOOKUP(A21,Listes!$F$2:$F$50,Listes!$G$2:$G$50,""),"")</f>
        <v>K52</v>
      </c>
      <c r="C21" s="115" cm="1">
        <f t="array" aca="1" ref="C21" ca="1">IFERROR(INDIRECT("'" &amp; C$3 &amp; "'!" &amp; $B21),"")</f>
        <v>163.95135357704405</v>
      </c>
      <c r="D21" s="115" cm="1">
        <f t="array" aca="1" ref="D21" ca="1">IFERROR(INDIRECT("'" &amp; D$3 &amp; "'!" &amp; $B21),"")</f>
        <v>163.95135357704405</v>
      </c>
      <c r="E21" s="115" cm="1">
        <f t="array" aca="1" ref="E21" ca="1">IFERROR(INDIRECT("'" &amp; E$3 &amp; "'!" &amp; $B21),"")</f>
        <v>163.95135357704405</v>
      </c>
      <c r="F21" s="115" cm="1">
        <f t="array" aca="1" ref="F21" ca="1">IFERROR(INDIRECT("'" &amp; F$3 &amp; "'!" &amp; $B21),"")</f>
        <v>163.95135357704405</v>
      </c>
      <c r="G21" s="115" cm="1">
        <f t="array" aca="1" ref="G21" ca="1">IFERROR(INDIRECT("'" &amp; G$3 &amp; "'!" &amp; $B21),"")</f>
        <v>163.95135357704405</v>
      </c>
      <c r="H21" s="115" cm="1">
        <f t="array" aca="1" ref="H21" ca="1">IFERROR(INDIRECT("'" &amp; H$3 &amp; "'!" &amp; $B21),"")</f>
        <v>163.95135357704405</v>
      </c>
      <c r="I21" s="115" cm="1">
        <f t="array" aca="1" ref="I21" ca="1">IFERROR(INDIRECT("'" &amp; I$3 &amp; "'!" &amp; $B21),"")</f>
        <v>163.95135357704405</v>
      </c>
      <c r="J21" s="115" cm="1">
        <f t="array" aca="1" ref="J21" ca="1">IFERROR(INDIRECT("'" &amp; J$3 &amp; "'!" &amp; $B21),"")</f>
        <v>163.95135357704405</v>
      </c>
      <c r="K21" s="115" t="str" cm="1">
        <f t="array" aca="1" ref="K21" ca="1">IFERROR(INDIRECT("'" &amp; K$3 &amp; "'!" &amp; $B21),"")</f>
        <v/>
      </c>
      <c r="L21" s="115" t="str" cm="1">
        <f t="array" aca="1" ref="L21" ca="1">IFERROR(INDIRECT("'" &amp; L$3 &amp; "'!" &amp; $B21),"")</f>
        <v/>
      </c>
      <c r="M21" s="115" t="str" cm="1">
        <f t="array" aca="1" ref="M21" ca="1">IFERROR(INDIRECT("'" &amp; M$3 &amp; "'!" &amp; $B21),"")</f>
        <v/>
      </c>
      <c r="N21" s="115" t="str" cm="1">
        <f t="array" aca="1" ref="N21" ca="1">IFERROR(INDIRECT("'" &amp; N$3 &amp; "'!" &amp; $B21),"")</f>
        <v/>
      </c>
      <c r="O21" s="115" t="str" cm="1">
        <f t="array" aca="1" ref="O21" ca="1">IFERROR(INDIRECT("'" &amp; O$3 &amp; "'!" &amp; $B21),"")</f>
        <v/>
      </c>
      <c r="P21" s="115" t="str" cm="1">
        <f t="array" aca="1" ref="P21" ca="1">IFERROR(INDIRECT("'" &amp; P$3 &amp; "'!" &amp; $B21),"")</f>
        <v/>
      </c>
      <c r="Q21" s="115" t="str" cm="1">
        <f t="array" aca="1" ref="Q21" ca="1">IFERROR(INDIRECT("'" &amp; Q$3 &amp; "'!" &amp; $B21),"")</f>
        <v/>
      </c>
      <c r="R21" s="115" t="str" cm="1">
        <f t="array" aca="1" ref="R21" ca="1">IFERROR(INDIRECT("'" &amp; R$3 &amp; "'!" &amp; $B21),"")</f>
        <v/>
      </c>
      <c r="T21" s="377"/>
      <c r="U21" s="377"/>
      <c r="V21" s="377"/>
    </row>
    <row r="22" spans="1:22" outlineLevel="1">
      <c r="A22" s="118" t="s">
        <v>503</v>
      </c>
      <c r="B22" s="112" t="str">
        <f>IFERROR(_xlfn.XLOOKUP(A22,Listes!$F$2:$F$50,Listes!$G$2:$G$50,""),"")</f>
        <v>C73</v>
      </c>
      <c r="C22" s="120" cm="1">
        <f t="array" aca="1" ref="C22" ca="1">IFERROR(INDIRECT("'" &amp; C$3 &amp; "'!" &amp; $B22),"")</f>
        <v>288</v>
      </c>
      <c r="D22" s="120" cm="1">
        <f t="array" aca="1" ref="D22" ca="1">IFERROR(INDIRECT("'" &amp; D$3 &amp; "'!" &amp; $B22),"")</f>
        <v>288</v>
      </c>
      <c r="E22" s="120" cm="1">
        <f t="array" aca="1" ref="E22" ca="1">IFERROR(INDIRECT("'" &amp; E$3 &amp; "'!" &amp; $B22),"")</f>
        <v>288</v>
      </c>
      <c r="F22" s="120" cm="1">
        <f t="array" aca="1" ref="F22" ca="1">IFERROR(INDIRECT("'" &amp; F$3 &amp; "'!" &amp; $B22),"")</f>
        <v>288</v>
      </c>
      <c r="G22" s="120" cm="1">
        <f t="array" aca="1" ref="G22" ca="1">IFERROR(INDIRECT("'" &amp; G$3 &amp; "'!" &amp; $B22),"")</f>
        <v>288</v>
      </c>
      <c r="H22" s="120" cm="1">
        <f t="array" aca="1" ref="H22" ca="1">IFERROR(INDIRECT("'" &amp; H$3 &amp; "'!" &amp; $B22),"")</f>
        <v>288</v>
      </c>
      <c r="I22" s="120" cm="1">
        <f t="array" aca="1" ref="I22" ca="1">IFERROR(INDIRECT("'" &amp; I$3 &amp; "'!" &amp; $B22),"")</f>
        <v>288</v>
      </c>
      <c r="J22" s="120" cm="1">
        <f t="array" aca="1" ref="J22" ca="1">IFERROR(INDIRECT("'" &amp; J$3 &amp; "'!" &amp; $B22),"")</f>
        <v>288</v>
      </c>
      <c r="K22" s="120" t="str" cm="1">
        <f t="array" aca="1" ref="K22" ca="1">IFERROR(INDIRECT("'" &amp; K$3 &amp; "'!" &amp; $B22),"")</f>
        <v/>
      </c>
      <c r="L22" s="120" t="str" cm="1">
        <f t="array" aca="1" ref="L22" ca="1">IFERROR(INDIRECT("'" &amp; L$3 &amp; "'!" &amp; $B22),"")</f>
        <v/>
      </c>
      <c r="M22" s="120" t="str" cm="1">
        <f t="array" aca="1" ref="M22" ca="1">IFERROR(INDIRECT("'" &amp; M$3 &amp; "'!" &amp; $B22),"")</f>
        <v/>
      </c>
      <c r="N22" s="120" t="str" cm="1">
        <f t="array" aca="1" ref="N22" ca="1">IFERROR(INDIRECT("'" &amp; N$3 &amp; "'!" &amp; $B22),"")</f>
        <v/>
      </c>
      <c r="O22" s="120" t="str" cm="1">
        <f t="array" aca="1" ref="O22" ca="1">IFERROR(INDIRECT("'" &amp; O$3 &amp; "'!" &amp; $B22),"")</f>
        <v/>
      </c>
      <c r="P22" s="120" t="str" cm="1">
        <f t="array" aca="1" ref="P22" ca="1">IFERROR(INDIRECT("'" &amp; P$3 &amp; "'!" &amp; $B22),"")</f>
        <v/>
      </c>
      <c r="Q22" s="120" t="str" cm="1">
        <f t="array" aca="1" ref="Q22" ca="1">IFERROR(INDIRECT("'" &amp; Q$3 &amp; "'!" &amp; $B22),"")</f>
        <v/>
      </c>
      <c r="R22" s="120" t="str" cm="1">
        <f t="array" aca="1" ref="R22" ca="1">IFERROR(INDIRECT("'" &amp; R$3 &amp; "'!" &amp; $B22),"")</f>
        <v/>
      </c>
      <c r="T22" s="377"/>
      <c r="U22" s="377"/>
      <c r="V22" s="377"/>
    </row>
    <row r="23" spans="1:22">
      <c r="A23" s="377"/>
      <c r="B23" s="378"/>
      <c r="C23" s="379"/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T23" s="377"/>
      <c r="U23" s="377"/>
      <c r="V23" s="377"/>
    </row>
    <row r="24" spans="1:22" ht="14.4" customHeight="1">
      <c r="A24" s="835" t="s">
        <v>187</v>
      </c>
      <c r="B24" s="836"/>
      <c r="C24" s="836"/>
      <c r="D24" s="836"/>
      <c r="E24" s="836"/>
      <c r="F24" s="836"/>
      <c r="G24" s="836"/>
      <c r="H24" s="838"/>
      <c r="I24" s="835" t="s">
        <v>187</v>
      </c>
      <c r="J24" s="836"/>
      <c r="K24" s="836"/>
      <c r="L24" s="836"/>
      <c r="M24" s="836"/>
      <c r="N24" s="836"/>
      <c r="O24" s="836"/>
      <c r="P24" s="836"/>
      <c r="Q24" s="836"/>
      <c r="R24" s="836"/>
      <c r="T24" s="828" t="s">
        <v>191</v>
      </c>
      <c r="U24" s="829"/>
      <c r="V24" s="832" t="s">
        <v>436</v>
      </c>
    </row>
    <row r="25" spans="1:22">
      <c r="A25" s="835" t="str">
        <f>"Année -2 -  : "&amp;'1. DONNEES DE BASE'!$B$1-2</f>
        <v>Année -2 -  : 2024</v>
      </c>
      <c r="B25" s="836"/>
      <c r="C25" s="836"/>
      <c r="D25" s="836"/>
      <c r="E25" s="836"/>
      <c r="F25" s="836"/>
      <c r="G25" s="836"/>
      <c r="H25" s="836"/>
      <c r="I25" s="837" t="s">
        <v>339</v>
      </c>
      <c r="J25" s="833"/>
      <c r="K25" s="833"/>
      <c r="L25" s="833"/>
      <c r="M25" s="833"/>
      <c r="N25" s="833"/>
      <c r="O25" s="833"/>
      <c r="P25" s="833"/>
      <c r="Q25" s="833"/>
      <c r="R25" s="833"/>
      <c r="T25" s="830"/>
      <c r="U25" s="831"/>
      <c r="V25" s="832"/>
    </row>
    <row r="26" spans="1:22">
      <c r="A26" s="376" t="s">
        <v>333</v>
      </c>
      <c r="B26" s="380"/>
      <c r="C26" s="381">
        <v>2000</v>
      </c>
      <c r="D26" s="381">
        <v>5000</v>
      </c>
      <c r="E26" s="381">
        <v>2000</v>
      </c>
      <c r="F26" s="381">
        <v>2000</v>
      </c>
      <c r="G26" s="382">
        <v>2000</v>
      </c>
      <c r="H26" s="381">
        <v>1700</v>
      </c>
      <c r="I26" s="381">
        <v>0</v>
      </c>
      <c r="J26" s="381">
        <v>0</v>
      </c>
      <c r="K26" s="381">
        <v>0</v>
      </c>
      <c r="L26" s="381">
        <v>0</v>
      </c>
      <c r="M26" s="381">
        <v>0</v>
      </c>
      <c r="N26" s="381">
        <v>0</v>
      </c>
      <c r="O26" s="381">
        <v>0</v>
      </c>
      <c r="P26" s="381">
        <v>0</v>
      </c>
      <c r="Q26" s="381">
        <v>0</v>
      </c>
      <c r="R26" s="381">
        <v>0</v>
      </c>
      <c r="T26" s="383"/>
      <c r="U26" s="383"/>
      <c r="V26" s="383"/>
    </row>
    <row r="27" spans="1:22">
      <c r="A27" s="376" t="s">
        <v>186</v>
      </c>
      <c r="B27" s="380"/>
      <c r="C27" s="384">
        <v>0</v>
      </c>
      <c r="D27" s="384">
        <v>0</v>
      </c>
      <c r="E27" s="384">
        <v>0</v>
      </c>
      <c r="F27" s="384">
        <v>0</v>
      </c>
      <c r="G27" s="385">
        <v>0</v>
      </c>
      <c r="H27" s="384">
        <v>0</v>
      </c>
      <c r="I27" s="384">
        <v>0</v>
      </c>
      <c r="J27" s="384">
        <v>0</v>
      </c>
      <c r="K27" s="384">
        <v>0</v>
      </c>
      <c r="L27" s="385">
        <v>0</v>
      </c>
      <c r="M27" s="384">
        <v>0</v>
      </c>
      <c r="N27" s="384">
        <v>0</v>
      </c>
      <c r="O27" s="384">
        <v>0</v>
      </c>
      <c r="P27" s="384">
        <v>0</v>
      </c>
      <c r="Q27" s="385">
        <v>0</v>
      </c>
      <c r="R27" s="384">
        <v>0</v>
      </c>
      <c r="T27" s="386" t="s">
        <v>341</v>
      </c>
      <c r="U27" s="125">
        <f ca="1">(U34-U35)/U34</f>
        <v>0.2679982955248183</v>
      </c>
      <c r="V27" s="110"/>
    </row>
    <row r="28" spans="1:22">
      <c r="A28" s="376" t="s">
        <v>334</v>
      </c>
      <c r="B28" s="387"/>
      <c r="C28" s="381">
        <v>0</v>
      </c>
      <c r="D28" s="381">
        <v>0</v>
      </c>
      <c r="E28" s="381">
        <v>0</v>
      </c>
      <c r="F28" s="381">
        <v>0</v>
      </c>
      <c r="G28" s="382">
        <v>0</v>
      </c>
      <c r="H28" s="381">
        <v>0</v>
      </c>
      <c r="I28" s="381">
        <v>0</v>
      </c>
      <c r="J28" s="381">
        <v>0</v>
      </c>
      <c r="K28" s="381">
        <v>0</v>
      </c>
      <c r="L28" s="381">
        <v>0</v>
      </c>
      <c r="M28" s="381">
        <v>0</v>
      </c>
      <c r="N28" s="381">
        <v>0</v>
      </c>
      <c r="O28" s="381">
        <v>0</v>
      </c>
      <c r="P28" s="381">
        <v>0</v>
      </c>
      <c r="Q28" s="381">
        <v>0</v>
      </c>
      <c r="R28" s="381">
        <v>0</v>
      </c>
      <c r="T28" s="388" t="s">
        <v>435</v>
      </c>
      <c r="U28" s="126">
        <f>(U30)/(U30+U29)</f>
        <v>0.51465576005453306</v>
      </c>
      <c r="V28" s="110"/>
    </row>
    <row r="29" spans="1:22">
      <c r="A29" s="376" t="s">
        <v>188</v>
      </c>
      <c r="B29" s="380"/>
      <c r="C29" s="381">
        <v>1100</v>
      </c>
      <c r="D29" s="381">
        <v>3000</v>
      </c>
      <c r="E29" s="381">
        <v>700</v>
      </c>
      <c r="F29" s="381">
        <v>800</v>
      </c>
      <c r="G29" s="382">
        <v>560</v>
      </c>
      <c r="H29" s="381">
        <v>248</v>
      </c>
      <c r="I29" s="381">
        <v>0</v>
      </c>
      <c r="J29" s="381">
        <v>0</v>
      </c>
      <c r="K29" s="381">
        <v>0</v>
      </c>
      <c r="L29" s="381">
        <v>0</v>
      </c>
      <c r="M29" s="381">
        <v>0</v>
      </c>
      <c r="N29" s="381">
        <v>0</v>
      </c>
      <c r="O29" s="381">
        <v>0</v>
      </c>
      <c r="P29" s="381">
        <v>0</v>
      </c>
      <c r="Q29" s="381">
        <v>0</v>
      </c>
      <c r="R29" s="381">
        <v>0</v>
      </c>
      <c r="T29" s="388" t="str">
        <f>A29</f>
        <v>Unités vendues B2B</v>
      </c>
      <c r="U29" s="127">
        <f>SUM(C29:R29)</f>
        <v>6408</v>
      </c>
      <c r="V29" s="110"/>
    </row>
    <row r="30" spans="1:22">
      <c r="A30" s="376" t="s">
        <v>190</v>
      </c>
      <c r="B30" s="380"/>
      <c r="C30" s="381">
        <v>700</v>
      </c>
      <c r="D30" s="381">
        <v>1500</v>
      </c>
      <c r="E30" s="381">
        <v>1200</v>
      </c>
      <c r="F30" s="381">
        <v>950</v>
      </c>
      <c r="G30" s="382">
        <v>1200</v>
      </c>
      <c r="H30" s="381">
        <v>1245</v>
      </c>
      <c r="I30" s="381">
        <v>0</v>
      </c>
      <c r="J30" s="381">
        <v>0</v>
      </c>
      <c r="K30" s="381">
        <v>0</v>
      </c>
      <c r="L30" s="381">
        <v>0</v>
      </c>
      <c r="M30" s="381">
        <v>0</v>
      </c>
      <c r="N30" s="381">
        <v>0</v>
      </c>
      <c r="O30" s="381">
        <v>0</v>
      </c>
      <c r="P30" s="381">
        <v>0</v>
      </c>
      <c r="Q30" s="381">
        <v>0</v>
      </c>
      <c r="R30" s="381">
        <v>0</v>
      </c>
      <c r="T30" s="388" t="str">
        <f>A30</f>
        <v>Unités vendues B2C</v>
      </c>
      <c r="U30" s="127">
        <f>SUM(C30:R30)</f>
        <v>6795</v>
      </c>
      <c r="V30" s="110"/>
    </row>
    <row r="31" spans="1:22">
      <c r="A31" s="376" t="s">
        <v>336</v>
      </c>
      <c r="B31" s="387"/>
      <c r="C31" s="128">
        <f>IFERROR(C29/(C29+C30),"")</f>
        <v>0.61111111111111116</v>
      </c>
      <c r="D31" s="128">
        <f t="shared" ref="D31:R31" si="0">IFERROR(D29/(D29+D30),"")</f>
        <v>0.66666666666666663</v>
      </c>
      <c r="E31" s="128">
        <f t="shared" si="0"/>
        <v>0.36842105263157893</v>
      </c>
      <c r="F31" s="128">
        <f t="shared" si="0"/>
        <v>0.45714285714285713</v>
      </c>
      <c r="G31" s="128">
        <f t="shared" si="0"/>
        <v>0.31818181818181818</v>
      </c>
      <c r="H31" s="128">
        <f t="shared" si="0"/>
        <v>0.16610850636302746</v>
      </c>
      <c r="I31" s="128" t="str">
        <f t="shared" si="0"/>
        <v/>
      </c>
      <c r="J31" s="128" t="str">
        <f t="shared" si="0"/>
        <v/>
      </c>
      <c r="K31" s="128" t="str">
        <f t="shared" si="0"/>
        <v/>
      </c>
      <c r="L31" s="128" t="str">
        <f t="shared" si="0"/>
        <v/>
      </c>
      <c r="M31" s="128" t="str">
        <f t="shared" si="0"/>
        <v/>
      </c>
      <c r="N31" s="128" t="str">
        <f t="shared" si="0"/>
        <v/>
      </c>
      <c r="O31" s="128" t="str">
        <f t="shared" si="0"/>
        <v/>
      </c>
      <c r="P31" s="128" t="str">
        <f t="shared" si="0"/>
        <v/>
      </c>
      <c r="Q31" s="128" t="str">
        <f t="shared" si="0"/>
        <v/>
      </c>
      <c r="R31" s="128" t="str">
        <f t="shared" si="0"/>
        <v/>
      </c>
      <c r="S31" s="129"/>
      <c r="T31" s="388" t="s">
        <v>434</v>
      </c>
      <c r="U31" s="130">
        <f ca="1">SUMPRODUCT(C30:R30,C$7:R$7)/U34</f>
        <v>0.54948139307283972</v>
      </c>
      <c r="V31" s="110"/>
    </row>
    <row r="32" spans="1:22">
      <c r="A32" s="376" t="s">
        <v>516</v>
      </c>
      <c r="B32" s="389"/>
      <c r="C32" s="131">
        <f>IFERROR(C26-C29-C30-C28,"")</f>
        <v>200</v>
      </c>
      <c r="D32" s="131">
        <f t="shared" ref="D32:R32" si="1">IFERROR(D26-D29-D30-D28,"")</f>
        <v>500</v>
      </c>
      <c r="E32" s="131">
        <f t="shared" si="1"/>
        <v>100</v>
      </c>
      <c r="F32" s="131">
        <f t="shared" si="1"/>
        <v>250</v>
      </c>
      <c r="G32" s="131">
        <f t="shared" si="1"/>
        <v>240</v>
      </c>
      <c r="H32" s="131">
        <f t="shared" si="1"/>
        <v>207</v>
      </c>
      <c r="I32" s="131">
        <f t="shared" si="1"/>
        <v>0</v>
      </c>
      <c r="J32" s="131">
        <f t="shared" si="1"/>
        <v>0</v>
      </c>
      <c r="K32" s="131">
        <f t="shared" si="1"/>
        <v>0</v>
      </c>
      <c r="L32" s="131">
        <f t="shared" si="1"/>
        <v>0</v>
      </c>
      <c r="M32" s="131">
        <f t="shared" si="1"/>
        <v>0</v>
      </c>
      <c r="N32" s="131">
        <f t="shared" si="1"/>
        <v>0</v>
      </c>
      <c r="O32" s="131">
        <f t="shared" si="1"/>
        <v>0</v>
      </c>
      <c r="P32" s="131">
        <f t="shared" si="1"/>
        <v>0</v>
      </c>
      <c r="Q32" s="131">
        <f t="shared" si="1"/>
        <v>0</v>
      </c>
      <c r="R32" s="131">
        <f t="shared" si="1"/>
        <v>0</v>
      </c>
      <c r="S32" s="129"/>
      <c r="T32" s="388" t="s">
        <v>517</v>
      </c>
      <c r="U32" s="132">
        <f ca="1">SUMPRODUCT(C32:R32,C$11:R$11)</f>
        <v>1754.7571193333331</v>
      </c>
      <c r="V32" s="133"/>
    </row>
    <row r="33" spans="1:22">
      <c r="A33" s="376" t="s">
        <v>540</v>
      </c>
      <c r="B33" s="375"/>
      <c r="C33" s="134">
        <f ca="1">IFERROR(C$19*(C29+C30),"")</f>
        <v>1400</v>
      </c>
      <c r="D33" s="134">
        <f t="shared" ref="D33:R33" ca="1" si="2">IFERROR(D$19*(D29+D30),"")</f>
        <v>3500</v>
      </c>
      <c r="E33" s="134">
        <f t="shared" ca="1" si="2"/>
        <v>1477.7777777777778</v>
      </c>
      <c r="F33" s="134">
        <f t="shared" ca="1" si="2"/>
        <v>1361.1111111111111</v>
      </c>
      <c r="G33" s="134">
        <f t="shared" ca="1" si="2"/>
        <v>1368.8888888888889</v>
      </c>
      <c r="H33" s="134">
        <f t="shared" ca="1" si="2"/>
        <v>1161.2222222222222</v>
      </c>
      <c r="I33" s="134">
        <f t="shared" ca="1" si="2"/>
        <v>0</v>
      </c>
      <c r="J33" s="134">
        <f t="shared" ca="1" si="2"/>
        <v>0</v>
      </c>
      <c r="K33" s="134" t="str">
        <f t="shared" ca="1" si="2"/>
        <v/>
      </c>
      <c r="L33" s="134" t="str">
        <f t="shared" ca="1" si="2"/>
        <v/>
      </c>
      <c r="M33" s="134" t="str">
        <f t="shared" ca="1" si="2"/>
        <v/>
      </c>
      <c r="N33" s="134" t="str">
        <f t="shared" ca="1" si="2"/>
        <v/>
      </c>
      <c r="O33" s="134" t="str">
        <f t="shared" ca="1" si="2"/>
        <v/>
      </c>
      <c r="P33" s="134" t="str">
        <f t="shared" ca="1" si="2"/>
        <v/>
      </c>
      <c r="Q33" s="134" t="str">
        <f t="shared" ca="1" si="2"/>
        <v/>
      </c>
      <c r="R33" s="134" t="str">
        <f t="shared" ca="1" si="2"/>
        <v/>
      </c>
      <c r="S33" s="129"/>
      <c r="T33" s="388" t="s">
        <v>541</v>
      </c>
      <c r="U33" s="132">
        <f ca="1">SUM(C33:R33)</f>
        <v>10269</v>
      </c>
      <c r="V33" s="133"/>
    </row>
    <row r="34" spans="1:22">
      <c r="A34" s="376" t="s">
        <v>189</v>
      </c>
      <c r="B34" s="375"/>
      <c r="C34" s="135">
        <f t="shared" ref="C34:R34" ca="1" si="3">IFERROR((C29*C$6)+(C$7*C30),"")</f>
        <v>7734.867924528302</v>
      </c>
      <c r="D34" s="135">
        <f t="shared" ca="1" si="3"/>
        <v>19184.716981132075</v>
      </c>
      <c r="E34" s="135">
        <f t="shared" ca="1" si="3"/>
        <v>8445.7735849056608</v>
      </c>
      <c r="F34" s="135">
        <f t="shared" ca="1" si="3"/>
        <v>7684.3207547169804</v>
      </c>
      <c r="G34" s="135">
        <f t="shared" ca="1" si="3"/>
        <v>7877.3735849056611</v>
      </c>
      <c r="H34" s="135">
        <f t="shared" ca="1" si="3"/>
        <v>6820.7950943396227</v>
      </c>
      <c r="I34" s="135">
        <f t="shared" ca="1" si="3"/>
        <v>0</v>
      </c>
      <c r="J34" s="135">
        <f t="shared" ca="1" si="3"/>
        <v>0</v>
      </c>
      <c r="K34" s="135" t="str">
        <f t="shared" ca="1" si="3"/>
        <v/>
      </c>
      <c r="L34" s="135" t="str">
        <f t="shared" ca="1" si="3"/>
        <v/>
      </c>
      <c r="M34" s="135" t="str">
        <f t="shared" ca="1" si="3"/>
        <v/>
      </c>
      <c r="N34" s="135" t="str">
        <f t="shared" ca="1" si="3"/>
        <v/>
      </c>
      <c r="O34" s="135" t="str">
        <f t="shared" ca="1" si="3"/>
        <v/>
      </c>
      <c r="P34" s="135" t="str">
        <f t="shared" ca="1" si="3"/>
        <v/>
      </c>
      <c r="Q34" s="135" t="str">
        <f t="shared" ca="1" si="3"/>
        <v/>
      </c>
      <c r="R34" s="135" t="str">
        <f t="shared" ca="1" si="3"/>
        <v/>
      </c>
      <c r="T34" s="388" t="str">
        <f>A34</f>
        <v>C.A total (B2B+B2C)</v>
      </c>
      <c r="U34" s="136">
        <f ca="1">SUM(C34:R34)</f>
        <v>57747.847924528302</v>
      </c>
      <c r="V34" s="110"/>
    </row>
    <row r="35" spans="1:22">
      <c r="A35" s="376" t="s">
        <v>335</v>
      </c>
      <c r="B35" s="375"/>
      <c r="C35" s="135">
        <f t="shared" ref="C35:R35" ca="1" si="4">IFERROR((C29*C$12)+(C$13*C30),"")</f>
        <v>5624.9395245283022</v>
      </c>
      <c r="D35" s="135">
        <f t="shared" ca="1" si="4"/>
        <v>13909.895981132075</v>
      </c>
      <c r="E35" s="135">
        <f t="shared" ca="1" si="4"/>
        <v>6218.6269404612167</v>
      </c>
      <c r="F35" s="135">
        <f t="shared" ca="1" si="4"/>
        <v>5633.0014769392037</v>
      </c>
      <c r="G35" s="135">
        <f t="shared" ca="1" si="4"/>
        <v>5814.3324826834387</v>
      </c>
      <c r="H35" s="135">
        <f t="shared" ca="1" si="4"/>
        <v>5070.7267047840669</v>
      </c>
      <c r="I35" s="135">
        <f t="shared" ca="1" si="4"/>
        <v>0</v>
      </c>
      <c r="J35" s="135">
        <f t="shared" ca="1" si="4"/>
        <v>0</v>
      </c>
      <c r="K35" s="135" t="str">
        <f t="shared" ca="1" si="4"/>
        <v/>
      </c>
      <c r="L35" s="135" t="str">
        <f t="shared" ca="1" si="4"/>
        <v/>
      </c>
      <c r="M35" s="135" t="str">
        <f t="shared" ca="1" si="4"/>
        <v/>
      </c>
      <c r="N35" s="135" t="str">
        <f t="shared" ca="1" si="4"/>
        <v/>
      </c>
      <c r="O35" s="135" t="str">
        <f t="shared" ca="1" si="4"/>
        <v/>
      </c>
      <c r="P35" s="135" t="str">
        <f t="shared" ca="1" si="4"/>
        <v/>
      </c>
      <c r="Q35" s="135" t="str">
        <f t="shared" ca="1" si="4"/>
        <v/>
      </c>
      <c r="R35" s="135" t="str">
        <f t="shared" ca="1" si="4"/>
        <v/>
      </c>
      <c r="T35" s="388" t="str">
        <f>A35</f>
        <v>MB Total (B2B + B2C)</v>
      </c>
      <c r="U35" s="136">
        <f ca="1">SUM(C35:R35)</f>
        <v>42271.523110528302</v>
      </c>
      <c r="V35" s="110"/>
    </row>
    <row r="36" spans="1:22">
      <c r="A36" s="376" t="s">
        <v>337</v>
      </c>
      <c r="B36" s="375"/>
      <c r="C36" s="137">
        <f t="shared" ref="C36:R36" ca="1" si="5">IFERROR(C34/$U34,"")</f>
        <v>0.133942098320913</v>
      </c>
      <c r="D36" s="137">
        <f t="shared" ca="1" si="5"/>
        <v>0.33221527157522696</v>
      </c>
      <c r="E36" s="137">
        <f t="shared" ca="1" si="5"/>
        <v>0.14625261180197735</v>
      </c>
      <c r="F36" s="137">
        <f t="shared" ca="1" si="5"/>
        <v>0.13306679003449198</v>
      </c>
      <c r="G36" s="137">
        <f t="shared" ca="1" si="5"/>
        <v>0.13640982076424288</v>
      </c>
      <c r="H36" s="137">
        <f t="shared" ca="1" si="5"/>
        <v>0.11811340750314786</v>
      </c>
      <c r="I36" s="137">
        <f t="shared" ca="1" si="5"/>
        <v>0</v>
      </c>
      <c r="J36" s="137">
        <f t="shared" ca="1" si="5"/>
        <v>0</v>
      </c>
      <c r="K36" s="137" t="str">
        <f t="shared" ca="1" si="5"/>
        <v/>
      </c>
      <c r="L36" s="137" t="str">
        <f t="shared" ca="1" si="5"/>
        <v/>
      </c>
      <c r="M36" s="137" t="str">
        <f t="shared" ca="1" si="5"/>
        <v/>
      </c>
      <c r="N36" s="137" t="str">
        <f t="shared" ca="1" si="5"/>
        <v/>
      </c>
      <c r="O36" s="137" t="str">
        <f t="shared" ca="1" si="5"/>
        <v/>
      </c>
      <c r="P36" s="137" t="str">
        <f t="shared" ca="1" si="5"/>
        <v/>
      </c>
      <c r="Q36" s="137" t="str">
        <f t="shared" ca="1" si="5"/>
        <v/>
      </c>
      <c r="R36" s="137" t="str">
        <f t="shared" ca="1" si="5"/>
        <v/>
      </c>
      <c r="T36" s="375"/>
      <c r="U36" s="375"/>
      <c r="V36" s="375"/>
    </row>
    <row r="37" spans="1:22">
      <c r="A37" s="390"/>
      <c r="B37" s="375"/>
      <c r="C37" s="391"/>
      <c r="D37" s="391"/>
      <c r="E37" s="391"/>
      <c r="F37" s="391"/>
      <c r="G37" s="391"/>
      <c r="H37" s="391"/>
      <c r="I37" s="391"/>
      <c r="J37" s="391"/>
      <c r="K37" s="391"/>
      <c r="L37" s="391"/>
      <c r="M37" s="391"/>
      <c r="N37" s="391"/>
      <c r="O37" s="391"/>
      <c r="P37" s="391"/>
      <c r="Q37" s="391"/>
      <c r="R37" s="391"/>
      <c r="S37" s="375"/>
      <c r="T37" s="375"/>
      <c r="U37" s="375"/>
      <c r="V37" s="375"/>
    </row>
    <row r="38" spans="1:22" ht="13.8" customHeight="1">
      <c r="A38" s="835" t="str">
        <f>"Année -1 - dernièr exercice comptable : "&amp;'1. DONNEES DE BASE'!$B$1-1</f>
        <v>Année -1 - dernièr exercice comptable : 2025</v>
      </c>
      <c r="B38" s="836"/>
      <c r="C38" s="836"/>
      <c r="D38" s="836"/>
      <c r="E38" s="836"/>
      <c r="F38" s="836"/>
      <c r="G38" s="836"/>
      <c r="H38" s="836"/>
      <c r="I38" s="837" t="str">
        <f>"Année -1 - dernièr exercice comptable : "&amp;'1. DONNEES DE BASE'!$B$1-1</f>
        <v>Année -1 - dernièr exercice comptable : 2025</v>
      </c>
      <c r="J38" s="833"/>
      <c r="K38" s="833"/>
      <c r="L38" s="833"/>
      <c r="M38" s="833"/>
      <c r="N38" s="833"/>
      <c r="O38" s="833"/>
      <c r="P38" s="833"/>
      <c r="Q38" s="833"/>
      <c r="R38" s="833"/>
      <c r="T38" s="121" t="s">
        <v>191</v>
      </c>
      <c r="U38" s="122"/>
      <c r="V38" s="826" t="s">
        <v>436</v>
      </c>
    </row>
    <row r="39" spans="1:22" ht="13.8" customHeight="1">
      <c r="A39" s="376" t="s">
        <v>333</v>
      </c>
      <c r="B39" s="380"/>
      <c r="C39" s="381">
        <v>10000</v>
      </c>
      <c r="D39" s="381">
        <v>3000</v>
      </c>
      <c r="E39" s="381">
        <v>1600</v>
      </c>
      <c r="F39" s="381">
        <v>5000</v>
      </c>
      <c r="G39" s="381">
        <v>3000</v>
      </c>
      <c r="H39" s="381">
        <v>2000</v>
      </c>
      <c r="I39" s="381">
        <v>0</v>
      </c>
      <c r="J39" s="381">
        <v>0</v>
      </c>
      <c r="K39" s="381">
        <v>0</v>
      </c>
      <c r="L39" s="381">
        <v>0</v>
      </c>
      <c r="M39" s="381">
        <v>0</v>
      </c>
      <c r="N39" s="381">
        <v>0</v>
      </c>
      <c r="O39" s="381">
        <v>0</v>
      </c>
      <c r="P39" s="381">
        <v>0</v>
      </c>
      <c r="Q39" s="381">
        <v>0</v>
      </c>
      <c r="R39" s="381">
        <v>0</v>
      </c>
      <c r="T39" s="123"/>
      <c r="U39" s="124"/>
      <c r="V39" s="827"/>
    </row>
    <row r="40" spans="1:22">
      <c r="A40" s="376" t="s">
        <v>186</v>
      </c>
      <c r="B40" s="380"/>
      <c r="C40" s="110">
        <f t="shared" ref="C40:R40" si="6">C32</f>
        <v>200</v>
      </c>
      <c r="D40" s="110">
        <f t="shared" si="6"/>
        <v>500</v>
      </c>
      <c r="E40" s="110">
        <f t="shared" si="6"/>
        <v>100</v>
      </c>
      <c r="F40" s="110">
        <f t="shared" si="6"/>
        <v>250</v>
      </c>
      <c r="G40" s="110">
        <f t="shared" si="6"/>
        <v>240</v>
      </c>
      <c r="H40" s="110">
        <f t="shared" si="6"/>
        <v>207</v>
      </c>
      <c r="I40" s="110">
        <f t="shared" si="6"/>
        <v>0</v>
      </c>
      <c r="J40" s="110">
        <f t="shared" si="6"/>
        <v>0</v>
      </c>
      <c r="K40" s="110">
        <f t="shared" si="6"/>
        <v>0</v>
      </c>
      <c r="L40" s="110">
        <f t="shared" si="6"/>
        <v>0</v>
      </c>
      <c r="M40" s="110">
        <f t="shared" si="6"/>
        <v>0</v>
      </c>
      <c r="N40" s="110">
        <f t="shared" si="6"/>
        <v>0</v>
      </c>
      <c r="O40" s="110">
        <f t="shared" si="6"/>
        <v>0</v>
      </c>
      <c r="P40" s="110">
        <f t="shared" si="6"/>
        <v>0</v>
      </c>
      <c r="Q40" s="110">
        <f t="shared" si="6"/>
        <v>0</v>
      </c>
      <c r="R40" s="110">
        <f t="shared" si="6"/>
        <v>0</v>
      </c>
      <c r="T40" s="386" t="s">
        <v>341</v>
      </c>
      <c r="U40" s="125">
        <f ca="1">(U47-U48)/U47</f>
        <v>0.27932617129756665</v>
      </c>
      <c r="V40" s="133">
        <f t="shared" ref="V40:V45" ca="1" si="7">U40/U27-1</f>
        <v>4.2268462008555385E-2</v>
      </c>
    </row>
    <row r="41" spans="1:22">
      <c r="A41" s="376" t="s">
        <v>334</v>
      </c>
      <c r="B41" s="387"/>
      <c r="C41" s="381">
        <v>50</v>
      </c>
      <c r="D41" s="381">
        <v>50</v>
      </c>
      <c r="E41" s="381">
        <v>50</v>
      </c>
      <c r="F41" s="381">
        <v>50</v>
      </c>
      <c r="G41" s="381">
        <v>0</v>
      </c>
      <c r="H41" s="381">
        <v>0</v>
      </c>
      <c r="I41" s="381">
        <v>0</v>
      </c>
      <c r="J41" s="381">
        <v>0</v>
      </c>
      <c r="K41" s="381">
        <v>0</v>
      </c>
      <c r="L41" s="381">
        <v>0</v>
      </c>
      <c r="M41" s="381">
        <v>0</v>
      </c>
      <c r="N41" s="381">
        <v>0</v>
      </c>
      <c r="O41" s="381">
        <v>0</v>
      </c>
      <c r="P41" s="381">
        <v>0</v>
      </c>
      <c r="Q41" s="381">
        <v>0</v>
      </c>
      <c r="R41" s="381">
        <v>0</v>
      </c>
      <c r="T41" s="388" t="s">
        <v>435</v>
      </c>
      <c r="U41" s="126">
        <f>(U43)/(U43+U42)</f>
        <v>0.22378199834847234</v>
      </c>
      <c r="V41" s="133">
        <f t="shared" si="7"/>
        <v>-0.56518120320899479</v>
      </c>
    </row>
    <row r="42" spans="1:22">
      <c r="A42" s="376" t="s">
        <v>188</v>
      </c>
      <c r="B42" s="380"/>
      <c r="C42" s="381">
        <v>8000</v>
      </c>
      <c r="D42" s="381">
        <v>3000</v>
      </c>
      <c r="E42" s="381">
        <v>800</v>
      </c>
      <c r="F42" s="381">
        <v>2500</v>
      </c>
      <c r="G42" s="381">
        <v>3000</v>
      </c>
      <c r="H42" s="381">
        <v>1500</v>
      </c>
      <c r="I42" s="381">
        <v>0</v>
      </c>
      <c r="J42" s="381">
        <v>0</v>
      </c>
      <c r="K42" s="381">
        <v>0</v>
      </c>
      <c r="L42" s="381">
        <v>0</v>
      </c>
      <c r="M42" s="381">
        <v>0</v>
      </c>
      <c r="N42" s="381">
        <v>0</v>
      </c>
      <c r="O42" s="381">
        <v>0</v>
      </c>
      <c r="P42" s="381">
        <v>0</v>
      </c>
      <c r="Q42" s="381">
        <v>0</v>
      </c>
      <c r="R42" s="381">
        <v>0</v>
      </c>
      <c r="T42" s="388" t="str">
        <f>A42</f>
        <v>Unités vendues B2B</v>
      </c>
      <c r="U42" s="127">
        <f>SUM(C42:R42)</f>
        <v>18800</v>
      </c>
      <c r="V42" s="133">
        <f t="shared" si="7"/>
        <v>1.9338327091136081</v>
      </c>
    </row>
    <row r="43" spans="1:22">
      <c r="A43" s="376" t="s">
        <v>190</v>
      </c>
      <c r="B43" s="380"/>
      <c r="C43" s="381">
        <v>1000</v>
      </c>
      <c r="D43" s="381">
        <v>400</v>
      </c>
      <c r="E43" s="381">
        <v>800</v>
      </c>
      <c r="F43" s="381">
        <v>2500</v>
      </c>
      <c r="G43" s="381">
        <v>120</v>
      </c>
      <c r="H43" s="381">
        <v>600</v>
      </c>
      <c r="I43" s="381">
        <v>0</v>
      </c>
      <c r="J43" s="381">
        <v>0</v>
      </c>
      <c r="K43" s="381">
        <v>0</v>
      </c>
      <c r="L43" s="381">
        <v>0</v>
      </c>
      <c r="M43" s="381">
        <v>0</v>
      </c>
      <c r="N43" s="381">
        <v>0</v>
      </c>
      <c r="O43" s="381">
        <v>0</v>
      </c>
      <c r="P43" s="381">
        <v>0</v>
      </c>
      <c r="Q43" s="381">
        <v>0</v>
      </c>
      <c r="R43" s="381">
        <v>0</v>
      </c>
      <c r="T43" s="388" t="str">
        <f>A43</f>
        <v>Unités vendues B2C</v>
      </c>
      <c r="U43" s="127">
        <f>SUM(C43:R43)</f>
        <v>5420</v>
      </c>
      <c r="V43" s="133">
        <f t="shared" si="7"/>
        <v>-0.20235467255334805</v>
      </c>
    </row>
    <row r="44" spans="1:22">
      <c r="A44" s="376" t="s">
        <v>336</v>
      </c>
      <c r="B44" s="387"/>
      <c r="C44" s="128">
        <f>IFERROR(C42/(C42+C43),"")</f>
        <v>0.88888888888888884</v>
      </c>
      <c r="D44" s="128">
        <f t="shared" ref="D44:R44" si="8">IFERROR(D42/(D42+D43),"")</f>
        <v>0.88235294117647056</v>
      </c>
      <c r="E44" s="128">
        <f t="shared" si="8"/>
        <v>0.5</v>
      </c>
      <c r="F44" s="128">
        <f t="shared" si="8"/>
        <v>0.5</v>
      </c>
      <c r="G44" s="128">
        <f t="shared" si="8"/>
        <v>0.96153846153846156</v>
      </c>
      <c r="H44" s="128">
        <f t="shared" si="8"/>
        <v>0.7142857142857143</v>
      </c>
      <c r="I44" s="128" t="str">
        <f t="shared" si="8"/>
        <v/>
      </c>
      <c r="J44" s="128" t="str">
        <f t="shared" si="8"/>
        <v/>
      </c>
      <c r="K44" s="128" t="str">
        <f t="shared" si="8"/>
        <v/>
      </c>
      <c r="L44" s="128" t="str">
        <f t="shared" si="8"/>
        <v/>
      </c>
      <c r="M44" s="128" t="str">
        <f t="shared" si="8"/>
        <v/>
      </c>
      <c r="N44" s="128" t="str">
        <f t="shared" si="8"/>
        <v/>
      </c>
      <c r="O44" s="128" t="str">
        <f t="shared" si="8"/>
        <v/>
      </c>
      <c r="P44" s="128" t="str">
        <f t="shared" si="8"/>
        <v/>
      </c>
      <c r="Q44" s="128" t="str">
        <f t="shared" si="8"/>
        <v/>
      </c>
      <c r="R44" s="128" t="str">
        <f t="shared" si="8"/>
        <v/>
      </c>
      <c r="S44" s="129"/>
      <c r="T44" s="388" t="s">
        <v>434</v>
      </c>
      <c r="U44" s="130">
        <f ca="1">SUMPRODUCT(C43:R43,C$7:R$7)/U47</f>
        <v>0.24902382364112202</v>
      </c>
      <c r="V44" s="133">
        <f t="shared" ca="1" si="7"/>
        <v>-0.54680208141622877</v>
      </c>
    </row>
    <row r="45" spans="1:22">
      <c r="A45" s="376" t="s">
        <v>516</v>
      </c>
      <c r="B45" s="389"/>
      <c r="C45" s="131">
        <f>IFERROR(C39-C42-C43-C41,"")</f>
        <v>950</v>
      </c>
      <c r="D45" s="131">
        <f t="shared" ref="D45:R45" si="9">IFERROR(D39-D42-D43-D41,"")</f>
        <v>-450</v>
      </c>
      <c r="E45" s="131">
        <f t="shared" si="9"/>
        <v>-50</v>
      </c>
      <c r="F45" s="131">
        <f t="shared" si="9"/>
        <v>-50</v>
      </c>
      <c r="G45" s="131">
        <f t="shared" si="9"/>
        <v>-120</v>
      </c>
      <c r="H45" s="131">
        <f t="shared" si="9"/>
        <v>-100</v>
      </c>
      <c r="I45" s="131">
        <f t="shared" si="9"/>
        <v>0</v>
      </c>
      <c r="J45" s="131">
        <f t="shared" si="9"/>
        <v>0</v>
      </c>
      <c r="K45" s="131">
        <f t="shared" si="9"/>
        <v>0</v>
      </c>
      <c r="L45" s="131">
        <f t="shared" si="9"/>
        <v>0</v>
      </c>
      <c r="M45" s="131">
        <f t="shared" si="9"/>
        <v>0</v>
      </c>
      <c r="N45" s="131">
        <f t="shared" si="9"/>
        <v>0</v>
      </c>
      <c r="O45" s="131">
        <f t="shared" si="9"/>
        <v>0</v>
      </c>
      <c r="P45" s="131">
        <f t="shared" si="9"/>
        <v>0</v>
      </c>
      <c r="Q45" s="131">
        <f t="shared" si="9"/>
        <v>0</v>
      </c>
      <c r="R45" s="131">
        <f t="shared" si="9"/>
        <v>0</v>
      </c>
      <c r="S45" s="129"/>
      <c r="T45" s="388" t="s">
        <v>517</v>
      </c>
      <c r="U45" s="132">
        <f ca="1">SUMPRODUCT(C45:R45,C$11:R$11)</f>
        <v>210.99284000000006</v>
      </c>
      <c r="V45" s="133">
        <f t="shared" ca="1" si="7"/>
        <v>-0.87975951903807614</v>
      </c>
    </row>
    <row r="46" spans="1:22">
      <c r="A46" s="376" t="s">
        <v>540</v>
      </c>
      <c r="B46" s="375"/>
      <c r="C46" s="138">
        <f ca="1">IFERROR(C$19*(C42+C43),"")</f>
        <v>7000</v>
      </c>
      <c r="D46" s="138">
        <f t="shared" ref="D46:R46" ca="1" si="10">IFERROR(D$19*(D42+D43),"")</f>
        <v>2644.4444444444443</v>
      </c>
      <c r="E46" s="138">
        <f t="shared" ca="1" si="10"/>
        <v>1244.4444444444446</v>
      </c>
      <c r="F46" s="138">
        <f t="shared" ca="1" si="10"/>
        <v>3888.8888888888891</v>
      </c>
      <c r="G46" s="138">
        <f t="shared" ca="1" si="10"/>
        <v>2426.6666666666665</v>
      </c>
      <c r="H46" s="138">
        <f t="shared" ca="1" si="10"/>
        <v>1633.3333333333333</v>
      </c>
      <c r="I46" s="134">
        <f t="shared" ca="1" si="10"/>
        <v>0</v>
      </c>
      <c r="J46" s="134">
        <f t="shared" ca="1" si="10"/>
        <v>0</v>
      </c>
      <c r="K46" s="134" t="str">
        <f t="shared" ca="1" si="10"/>
        <v/>
      </c>
      <c r="L46" s="134" t="str">
        <f t="shared" ca="1" si="10"/>
        <v/>
      </c>
      <c r="M46" s="134" t="str">
        <f t="shared" ca="1" si="10"/>
        <v/>
      </c>
      <c r="N46" s="134" t="str">
        <f t="shared" ca="1" si="10"/>
        <v/>
      </c>
      <c r="O46" s="134" t="str">
        <f t="shared" ca="1" si="10"/>
        <v/>
      </c>
      <c r="P46" s="134" t="str">
        <f t="shared" ca="1" si="10"/>
        <v/>
      </c>
      <c r="Q46" s="134" t="str">
        <f t="shared" ca="1" si="10"/>
        <v/>
      </c>
      <c r="R46" s="134" t="str">
        <f t="shared" ca="1" si="10"/>
        <v/>
      </c>
      <c r="S46" s="129"/>
      <c r="T46" s="388" t="s">
        <v>541</v>
      </c>
      <c r="U46" s="132">
        <f ca="1">SUM(C46:R46)</f>
        <v>18837.777777777777</v>
      </c>
      <c r="V46" s="133">
        <f ca="1">U46/U33-1</f>
        <v>0.8344315685828978</v>
      </c>
    </row>
    <row r="47" spans="1:22">
      <c r="A47" s="376" t="s">
        <v>189</v>
      </c>
      <c r="B47" s="389"/>
      <c r="C47" s="139">
        <f t="shared" ref="C47:R47" ca="1" si="11">IFERROR((C42*C$6)+(C$7*C43),"")</f>
        <v>37149.811320754714</v>
      </c>
      <c r="D47" s="139">
        <f t="shared" ca="1" si="11"/>
        <v>14047.924528301884</v>
      </c>
      <c r="E47" s="139">
        <f t="shared" ca="1" si="11"/>
        <v>6983.8490566037726</v>
      </c>
      <c r="F47" s="139">
        <f t="shared" ca="1" si="11"/>
        <v>21824.528301886792</v>
      </c>
      <c r="G47" s="139">
        <f t="shared" ca="1" si="11"/>
        <v>12740.377358490565</v>
      </c>
      <c r="H47" s="139">
        <f t="shared" ca="1" si="11"/>
        <v>8891.8867924528295</v>
      </c>
      <c r="I47" s="139">
        <f t="shared" ca="1" si="11"/>
        <v>0</v>
      </c>
      <c r="J47" s="139">
        <f t="shared" ca="1" si="11"/>
        <v>0</v>
      </c>
      <c r="K47" s="139" t="str">
        <f t="shared" ca="1" si="11"/>
        <v/>
      </c>
      <c r="L47" s="139" t="str">
        <f t="shared" ca="1" si="11"/>
        <v/>
      </c>
      <c r="M47" s="139" t="str">
        <f t="shared" ca="1" si="11"/>
        <v/>
      </c>
      <c r="N47" s="139" t="str">
        <f t="shared" ca="1" si="11"/>
        <v/>
      </c>
      <c r="O47" s="139" t="str">
        <f t="shared" ca="1" si="11"/>
        <v/>
      </c>
      <c r="P47" s="139" t="str">
        <f t="shared" ca="1" si="11"/>
        <v/>
      </c>
      <c r="Q47" s="139" t="str">
        <f t="shared" ca="1" si="11"/>
        <v/>
      </c>
      <c r="R47" s="139" t="str">
        <f t="shared" ca="1" si="11"/>
        <v/>
      </c>
      <c r="T47" s="388" t="str">
        <f>A47</f>
        <v>C.A total (B2B+B2C)</v>
      </c>
      <c r="U47" s="136">
        <f ca="1">SUM(C47:R47)</f>
        <v>101638.37735849057</v>
      </c>
      <c r="V47" s="133">
        <f ca="1">U47/U32-1</f>
        <v>56.92162131081993</v>
      </c>
    </row>
    <row r="48" spans="1:22">
      <c r="A48" s="376" t="s">
        <v>335</v>
      </c>
      <c r="B48" s="375"/>
      <c r="C48" s="135">
        <f t="shared" ref="C48:R48" ca="1" si="12">IFERROR((C42*C$12)+(C$13*C43),"")</f>
        <v>26600.169320754714</v>
      </c>
      <c r="D48" s="135">
        <f t="shared" ca="1" si="12"/>
        <v>10062.504217190775</v>
      </c>
      <c r="E48" s="135">
        <f t="shared" ca="1" si="12"/>
        <v>5108.3571454926623</v>
      </c>
      <c r="F48" s="135">
        <f t="shared" ca="1" si="12"/>
        <v>15963.616079664571</v>
      </c>
      <c r="G48" s="135">
        <f t="shared" ca="1" si="12"/>
        <v>9083.1681318238989</v>
      </c>
      <c r="H48" s="135">
        <f t="shared" ca="1" si="12"/>
        <v>6430.3036591194968</v>
      </c>
      <c r="I48" s="135">
        <f t="shared" ca="1" si="12"/>
        <v>0</v>
      </c>
      <c r="J48" s="135">
        <f t="shared" ca="1" si="12"/>
        <v>0</v>
      </c>
      <c r="K48" s="135" t="str">
        <f t="shared" ca="1" si="12"/>
        <v/>
      </c>
      <c r="L48" s="135" t="str">
        <f t="shared" ca="1" si="12"/>
        <v/>
      </c>
      <c r="M48" s="135" t="str">
        <f t="shared" ca="1" si="12"/>
        <v/>
      </c>
      <c r="N48" s="135" t="str">
        <f t="shared" ca="1" si="12"/>
        <v/>
      </c>
      <c r="O48" s="135" t="str">
        <f t="shared" ca="1" si="12"/>
        <v/>
      </c>
      <c r="P48" s="135" t="str">
        <f t="shared" ca="1" si="12"/>
        <v/>
      </c>
      <c r="Q48" s="135" t="str">
        <f t="shared" ca="1" si="12"/>
        <v/>
      </c>
      <c r="R48" s="135" t="str">
        <f t="shared" ca="1" si="12"/>
        <v/>
      </c>
      <c r="T48" s="388" t="str">
        <f>A48</f>
        <v>MB Total (B2B + B2C)</v>
      </c>
      <c r="U48" s="136">
        <f ca="1">SUM(C48:R48)</f>
        <v>73248.118554046116</v>
      </c>
      <c r="V48" s="133">
        <f ca="1">U48/U34-1</f>
        <v>0.26841295713349167</v>
      </c>
    </row>
    <row r="49" spans="1:29">
      <c r="A49" s="376" t="s">
        <v>337</v>
      </c>
      <c r="B49" s="375"/>
      <c r="C49" s="137">
        <f t="shared" ref="C49:R49" ca="1" si="13">IFERROR(C47/$U47,"")</f>
        <v>0.36550968528081612</v>
      </c>
      <c r="D49" s="137">
        <f t="shared" ca="1" si="13"/>
        <v>0.13821476585318943</v>
      </c>
      <c r="E49" s="137">
        <f t="shared" ca="1" si="13"/>
        <v>6.8712716968816923E-2</v>
      </c>
      <c r="F49" s="137">
        <f t="shared" ca="1" si="13"/>
        <v>0.2147272405275529</v>
      </c>
      <c r="G49" s="137">
        <f t="shared" ca="1" si="13"/>
        <v>0.12535006647689531</v>
      </c>
      <c r="H49" s="137">
        <f t="shared" ca="1" si="13"/>
        <v>8.7485524892729191E-2</v>
      </c>
      <c r="I49" s="137">
        <f t="shared" ca="1" si="13"/>
        <v>0</v>
      </c>
      <c r="J49" s="137">
        <f t="shared" ca="1" si="13"/>
        <v>0</v>
      </c>
      <c r="K49" s="137" t="str">
        <f t="shared" ca="1" si="13"/>
        <v/>
      </c>
      <c r="L49" s="137" t="str">
        <f t="shared" ca="1" si="13"/>
        <v/>
      </c>
      <c r="M49" s="137" t="str">
        <f t="shared" ca="1" si="13"/>
        <v/>
      </c>
      <c r="N49" s="137" t="str">
        <f t="shared" ca="1" si="13"/>
        <v/>
      </c>
      <c r="O49" s="137" t="str">
        <f t="shared" ca="1" si="13"/>
        <v/>
      </c>
      <c r="P49" s="137" t="str">
        <f t="shared" ca="1" si="13"/>
        <v/>
      </c>
      <c r="Q49" s="137" t="str">
        <f t="shared" ca="1" si="13"/>
        <v/>
      </c>
      <c r="R49" s="137" t="str">
        <f t="shared" ca="1" si="13"/>
        <v/>
      </c>
      <c r="T49" s="386"/>
      <c r="U49" s="392"/>
      <c r="V49" s="375"/>
    </row>
    <row r="50" spans="1:29">
      <c r="A50" s="375"/>
      <c r="B50" s="375"/>
      <c r="C50" s="375"/>
      <c r="D50" s="375"/>
      <c r="E50" s="375"/>
      <c r="F50" s="375"/>
      <c r="G50" s="375"/>
      <c r="H50" s="375"/>
      <c r="I50" s="375"/>
      <c r="J50" s="375"/>
      <c r="K50" s="375"/>
      <c r="L50" s="375"/>
      <c r="M50" s="375"/>
      <c r="N50" s="375"/>
      <c r="O50" s="375"/>
      <c r="P50" s="375"/>
      <c r="Q50" s="375"/>
      <c r="R50" s="375"/>
      <c r="T50" s="386"/>
      <c r="U50" s="392"/>
      <c r="V50" s="375"/>
      <c r="W50" s="140"/>
    </row>
    <row r="51" spans="1:29">
      <c r="A51" s="833" t="str">
        <f>"Année en cours : "&amp;'1. DONNEES DE BASE'!$B$1</f>
        <v>Année en cours : 2026</v>
      </c>
      <c r="B51" s="833"/>
      <c r="C51" s="833"/>
      <c r="D51" s="833"/>
      <c r="E51" s="833"/>
      <c r="F51" s="833"/>
      <c r="G51" s="833"/>
      <c r="H51" s="833"/>
      <c r="I51" s="833" t="str">
        <f>"Année en cours : "&amp;'1. DONNEES DE BASE'!$B$1</f>
        <v>Année en cours : 2026</v>
      </c>
      <c r="J51" s="833"/>
      <c r="K51" s="833"/>
      <c r="L51" s="833"/>
      <c r="M51" s="833"/>
      <c r="N51" s="833"/>
      <c r="O51" s="833"/>
      <c r="P51" s="833"/>
      <c r="Q51" s="833"/>
      <c r="R51" s="833"/>
      <c r="T51" s="121" t="s">
        <v>191</v>
      </c>
      <c r="U51" s="122"/>
      <c r="V51" s="826" t="s">
        <v>436</v>
      </c>
    </row>
    <row r="52" spans="1:29">
      <c r="A52" s="376" t="s">
        <v>333</v>
      </c>
      <c r="B52" s="380"/>
      <c r="C52" s="381">
        <v>200</v>
      </c>
      <c r="D52" s="381">
        <v>300</v>
      </c>
      <c r="E52" s="381">
        <v>400</v>
      </c>
      <c r="F52" s="381">
        <v>500</v>
      </c>
      <c r="G52" s="381">
        <v>600</v>
      </c>
      <c r="H52" s="381">
        <v>200</v>
      </c>
      <c r="I52" s="381">
        <v>0</v>
      </c>
      <c r="J52" s="381">
        <v>0</v>
      </c>
      <c r="K52" s="381">
        <v>0</v>
      </c>
      <c r="L52" s="381">
        <v>0</v>
      </c>
      <c r="M52" s="381">
        <v>0</v>
      </c>
      <c r="N52" s="381">
        <v>0</v>
      </c>
      <c r="O52" s="381">
        <v>0</v>
      </c>
      <c r="P52" s="381">
        <v>0</v>
      </c>
      <c r="Q52" s="381">
        <v>0</v>
      </c>
      <c r="R52" s="381">
        <v>0</v>
      </c>
      <c r="T52" s="123"/>
      <c r="U52" s="124"/>
      <c r="V52" s="827"/>
    </row>
    <row r="53" spans="1:29">
      <c r="A53" s="376" t="s">
        <v>186</v>
      </c>
      <c r="B53" s="380"/>
      <c r="C53" s="141">
        <f t="shared" ref="C53:R53" si="14">C45</f>
        <v>950</v>
      </c>
      <c r="D53" s="141">
        <f t="shared" si="14"/>
        <v>-450</v>
      </c>
      <c r="E53" s="141">
        <f t="shared" si="14"/>
        <v>-50</v>
      </c>
      <c r="F53" s="141">
        <f t="shared" si="14"/>
        <v>-50</v>
      </c>
      <c r="G53" s="141">
        <f t="shared" si="14"/>
        <v>-120</v>
      </c>
      <c r="H53" s="141">
        <f t="shared" si="14"/>
        <v>-100</v>
      </c>
      <c r="I53" s="141">
        <f t="shared" si="14"/>
        <v>0</v>
      </c>
      <c r="J53" s="141">
        <f t="shared" si="14"/>
        <v>0</v>
      </c>
      <c r="K53" s="141">
        <f t="shared" si="14"/>
        <v>0</v>
      </c>
      <c r="L53" s="141">
        <f t="shared" si="14"/>
        <v>0</v>
      </c>
      <c r="M53" s="141">
        <f t="shared" si="14"/>
        <v>0</v>
      </c>
      <c r="N53" s="141">
        <f t="shared" si="14"/>
        <v>0</v>
      </c>
      <c r="O53" s="141">
        <f t="shared" si="14"/>
        <v>0</v>
      </c>
      <c r="P53" s="141">
        <f t="shared" si="14"/>
        <v>0</v>
      </c>
      <c r="Q53" s="141">
        <f t="shared" si="14"/>
        <v>0</v>
      </c>
      <c r="R53" s="141">
        <f t="shared" si="14"/>
        <v>0</v>
      </c>
      <c r="T53" s="386" t="s">
        <v>341</v>
      </c>
      <c r="U53" s="125">
        <f ca="1">(U60-U61)/U60</f>
        <v>0.28370171715272346</v>
      </c>
      <c r="V53" s="133">
        <f t="shared" ref="V53:V59" ca="1" si="15">U53/U40-1</f>
        <v>1.5664646942428861E-2</v>
      </c>
    </row>
    <row r="54" spans="1:29">
      <c r="A54" s="376" t="s">
        <v>334</v>
      </c>
      <c r="B54" s="387"/>
      <c r="C54" s="381">
        <v>50</v>
      </c>
      <c r="D54" s="381">
        <v>50</v>
      </c>
      <c r="E54" s="381">
        <v>50</v>
      </c>
      <c r="F54" s="381">
        <v>50</v>
      </c>
      <c r="G54" s="381">
        <v>50</v>
      </c>
      <c r="H54" s="381">
        <v>0</v>
      </c>
      <c r="I54" s="381">
        <v>0</v>
      </c>
      <c r="J54" s="381">
        <v>0</v>
      </c>
      <c r="K54" s="381">
        <v>0</v>
      </c>
      <c r="L54" s="381">
        <v>0</v>
      </c>
      <c r="M54" s="381">
        <v>0</v>
      </c>
      <c r="N54" s="381">
        <v>0</v>
      </c>
      <c r="O54" s="381">
        <v>0</v>
      </c>
      <c r="P54" s="381">
        <v>0</v>
      </c>
      <c r="Q54" s="381">
        <v>0</v>
      </c>
      <c r="R54" s="381">
        <v>0</v>
      </c>
      <c r="T54" s="388" t="s">
        <v>435</v>
      </c>
      <c r="U54" s="126">
        <f>(U56)/(U56+U55)</f>
        <v>0.11764705882352941</v>
      </c>
      <c r="V54" s="133">
        <f t="shared" si="15"/>
        <v>-0.47427827219448671</v>
      </c>
    </row>
    <row r="55" spans="1:29">
      <c r="A55" s="376" t="s">
        <v>188</v>
      </c>
      <c r="B55" s="380"/>
      <c r="C55" s="381">
        <v>50</v>
      </c>
      <c r="D55" s="381">
        <v>50</v>
      </c>
      <c r="E55" s="381">
        <v>50</v>
      </c>
      <c r="F55" s="381">
        <v>500</v>
      </c>
      <c r="G55" s="381">
        <v>50</v>
      </c>
      <c r="H55" s="381">
        <v>50</v>
      </c>
      <c r="I55" s="381">
        <v>0</v>
      </c>
      <c r="J55" s="381">
        <v>0</v>
      </c>
      <c r="K55" s="381">
        <v>0</v>
      </c>
      <c r="L55" s="381">
        <v>0</v>
      </c>
      <c r="M55" s="381">
        <v>0</v>
      </c>
      <c r="N55" s="381">
        <v>0</v>
      </c>
      <c r="O55" s="381">
        <v>0</v>
      </c>
      <c r="P55" s="381">
        <v>0</v>
      </c>
      <c r="Q55" s="381">
        <v>0</v>
      </c>
      <c r="R55" s="381">
        <v>0</v>
      </c>
      <c r="T55" s="388" t="str">
        <f>A55</f>
        <v>Unités vendues B2B</v>
      </c>
      <c r="U55" s="127">
        <f>SUM(C55:R55)</f>
        <v>750</v>
      </c>
      <c r="V55" s="133">
        <f t="shared" si="15"/>
        <v>-0.96010638297872342</v>
      </c>
    </row>
    <row r="56" spans="1:29">
      <c r="A56" s="376" t="s">
        <v>190</v>
      </c>
      <c r="B56" s="380"/>
      <c r="C56" s="381">
        <v>20</v>
      </c>
      <c r="D56" s="381">
        <v>20</v>
      </c>
      <c r="E56" s="381">
        <v>20</v>
      </c>
      <c r="F56" s="381">
        <v>20</v>
      </c>
      <c r="G56" s="381">
        <v>20</v>
      </c>
      <c r="H56" s="381">
        <v>0</v>
      </c>
      <c r="I56" s="381">
        <v>0</v>
      </c>
      <c r="J56" s="381">
        <v>0</v>
      </c>
      <c r="K56" s="381">
        <v>0</v>
      </c>
      <c r="L56" s="381">
        <v>0</v>
      </c>
      <c r="M56" s="381">
        <v>0</v>
      </c>
      <c r="N56" s="381">
        <v>0</v>
      </c>
      <c r="O56" s="381">
        <v>0</v>
      </c>
      <c r="P56" s="381">
        <v>0</v>
      </c>
      <c r="Q56" s="381">
        <v>0</v>
      </c>
      <c r="R56" s="381">
        <v>0</v>
      </c>
      <c r="T56" s="388" t="str">
        <f>A56</f>
        <v>Unités vendues B2C</v>
      </c>
      <c r="U56" s="127">
        <f>SUM(C56:R56)</f>
        <v>100</v>
      </c>
      <c r="V56" s="133">
        <f t="shared" si="15"/>
        <v>-0.98154981549815501</v>
      </c>
    </row>
    <row r="57" spans="1:29">
      <c r="A57" s="376" t="s">
        <v>336</v>
      </c>
      <c r="B57" s="387"/>
      <c r="C57" s="128">
        <f>IFERROR(C55/(C55+C56),"")</f>
        <v>0.7142857142857143</v>
      </c>
      <c r="D57" s="128">
        <f t="shared" ref="D57:R57" si="16">IFERROR(D55/(D55+D56),"")</f>
        <v>0.7142857142857143</v>
      </c>
      <c r="E57" s="128">
        <f t="shared" si="16"/>
        <v>0.7142857142857143</v>
      </c>
      <c r="F57" s="128">
        <f t="shared" si="16"/>
        <v>0.96153846153846156</v>
      </c>
      <c r="G57" s="128">
        <f t="shared" si="16"/>
        <v>0.7142857142857143</v>
      </c>
      <c r="H57" s="128">
        <f t="shared" si="16"/>
        <v>1</v>
      </c>
      <c r="I57" s="128" t="str">
        <f t="shared" si="16"/>
        <v/>
      </c>
      <c r="J57" s="128" t="str">
        <f t="shared" si="16"/>
        <v/>
      </c>
      <c r="K57" s="128" t="str">
        <f t="shared" si="16"/>
        <v/>
      </c>
      <c r="L57" s="128" t="str">
        <f t="shared" si="16"/>
        <v/>
      </c>
      <c r="M57" s="128" t="str">
        <f t="shared" si="16"/>
        <v/>
      </c>
      <c r="N57" s="128" t="str">
        <f t="shared" si="16"/>
        <v/>
      </c>
      <c r="O57" s="128" t="str">
        <f t="shared" si="16"/>
        <v/>
      </c>
      <c r="P57" s="128" t="str">
        <f t="shared" si="16"/>
        <v/>
      </c>
      <c r="Q57" s="128" t="str">
        <f t="shared" si="16"/>
        <v/>
      </c>
      <c r="R57" s="128" t="str">
        <f t="shared" si="16"/>
        <v/>
      </c>
      <c r="S57" s="129"/>
      <c r="T57" s="388" t="s">
        <v>434</v>
      </c>
      <c r="U57" s="130">
        <f ca="1">SUMPRODUCT(C56:R56,C$7:R$7)/U60</f>
        <v>0.13296800709162709</v>
      </c>
      <c r="V57" s="133">
        <f t="shared" ca="1" si="15"/>
        <v>-0.46604302693844868</v>
      </c>
    </row>
    <row r="58" spans="1:29">
      <c r="A58" s="376" t="s">
        <v>516</v>
      </c>
      <c r="B58" s="389"/>
      <c r="C58" s="131">
        <f>IFERROR(C52-C55-C56-C54,"")</f>
        <v>80</v>
      </c>
      <c r="D58" s="131">
        <f t="shared" ref="D58:R58" si="17">IFERROR(D52-D55-D56-D54,"")</f>
        <v>180</v>
      </c>
      <c r="E58" s="131">
        <f t="shared" si="17"/>
        <v>280</v>
      </c>
      <c r="F58" s="131">
        <f t="shared" si="17"/>
        <v>-70</v>
      </c>
      <c r="G58" s="131">
        <f t="shared" si="17"/>
        <v>480</v>
      </c>
      <c r="H58" s="131">
        <f t="shared" si="17"/>
        <v>150</v>
      </c>
      <c r="I58" s="131">
        <f t="shared" si="17"/>
        <v>0</v>
      </c>
      <c r="J58" s="131">
        <f t="shared" si="17"/>
        <v>0</v>
      </c>
      <c r="K58" s="131">
        <f t="shared" si="17"/>
        <v>0</v>
      </c>
      <c r="L58" s="131">
        <f t="shared" si="17"/>
        <v>0</v>
      </c>
      <c r="M58" s="131">
        <f t="shared" si="17"/>
        <v>0</v>
      </c>
      <c r="N58" s="131">
        <f t="shared" si="17"/>
        <v>0</v>
      </c>
      <c r="O58" s="131">
        <f t="shared" si="17"/>
        <v>0</v>
      </c>
      <c r="P58" s="131">
        <f t="shared" si="17"/>
        <v>0</v>
      </c>
      <c r="Q58" s="131">
        <f t="shared" si="17"/>
        <v>0</v>
      </c>
      <c r="R58" s="131">
        <f t="shared" si="17"/>
        <v>0</v>
      </c>
      <c r="S58" s="129"/>
      <c r="T58" s="388" t="s">
        <v>517</v>
      </c>
      <c r="U58" s="132">
        <f ca="1">SUMPRODUCT(C58:R58,C$11:R$11)</f>
        <v>1289.4006888888887</v>
      </c>
      <c r="V58" s="133">
        <f t="shared" ca="1" si="15"/>
        <v>5.1111111111111081</v>
      </c>
    </row>
    <row r="59" spans="1:29">
      <c r="A59" s="376" t="s">
        <v>540</v>
      </c>
      <c r="B59" s="375"/>
      <c r="C59" s="138">
        <f ca="1">IFERROR(C$19*(C55+C56),"")</f>
        <v>54.444444444444443</v>
      </c>
      <c r="D59" s="138">
        <f t="shared" ref="D59:R59" ca="1" si="18">IFERROR(D$19*(D55+D56),"")</f>
        <v>54.444444444444443</v>
      </c>
      <c r="E59" s="138">
        <f t="shared" ca="1" si="18"/>
        <v>54.444444444444443</v>
      </c>
      <c r="F59" s="138">
        <f t="shared" ca="1" si="18"/>
        <v>404.44444444444446</v>
      </c>
      <c r="G59" s="138">
        <f t="shared" ca="1" si="18"/>
        <v>54.444444444444443</v>
      </c>
      <c r="H59" s="138">
        <f t="shared" ca="1" si="18"/>
        <v>38.888888888888893</v>
      </c>
      <c r="I59" s="134">
        <f t="shared" ca="1" si="18"/>
        <v>0</v>
      </c>
      <c r="J59" s="134">
        <f t="shared" ca="1" si="18"/>
        <v>0</v>
      </c>
      <c r="K59" s="134" t="str">
        <f t="shared" ca="1" si="18"/>
        <v/>
      </c>
      <c r="L59" s="134" t="str">
        <f t="shared" ca="1" si="18"/>
        <v/>
      </c>
      <c r="M59" s="134" t="str">
        <f t="shared" ca="1" si="18"/>
        <v/>
      </c>
      <c r="N59" s="134" t="str">
        <f t="shared" ca="1" si="18"/>
        <v/>
      </c>
      <c r="O59" s="134" t="str">
        <f t="shared" ca="1" si="18"/>
        <v/>
      </c>
      <c r="P59" s="134" t="str">
        <f t="shared" ca="1" si="18"/>
        <v/>
      </c>
      <c r="Q59" s="134" t="str">
        <f t="shared" ca="1" si="18"/>
        <v/>
      </c>
      <c r="R59" s="134" t="str">
        <f t="shared" ca="1" si="18"/>
        <v/>
      </c>
      <c r="S59" s="129"/>
      <c r="T59" s="388" t="s">
        <v>541</v>
      </c>
      <c r="U59" s="132">
        <f ca="1">SUM(C59:R59)</f>
        <v>661.1111111111112</v>
      </c>
      <c r="V59" s="133">
        <f t="shared" ca="1" si="15"/>
        <v>-0.96490503715937237</v>
      </c>
    </row>
    <row r="60" spans="1:29">
      <c r="A60" s="376" t="s">
        <v>189</v>
      </c>
      <c r="B60" s="389"/>
      <c r="C60" s="139">
        <f t="shared" ref="C60:R60" ca="1" si="19">IFERROR((C55*C$6)+(C$7*C56),"")</f>
        <v>296.3962264150943</v>
      </c>
      <c r="D60" s="139">
        <f t="shared" ca="1" si="19"/>
        <v>296.3962264150943</v>
      </c>
      <c r="E60" s="139">
        <f t="shared" ca="1" si="19"/>
        <v>296.3962264150943</v>
      </c>
      <c r="F60" s="139">
        <f t="shared" ca="1" si="19"/>
        <v>2123.3962264150941</v>
      </c>
      <c r="G60" s="139">
        <f t="shared" ca="1" si="19"/>
        <v>296.3962264150943</v>
      </c>
      <c r="H60" s="139">
        <f t="shared" ca="1" si="19"/>
        <v>202.99999999999997</v>
      </c>
      <c r="I60" s="139">
        <f t="shared" ca="1" si="19"/>
        <v>0</v>
      </c>
      <c r="J60" s="139">
        <f t="shared" ca="1" si="19"/>
        <v>0</v>
      </c>
      <c r="K60" s="139" t="str">
        <f t="shared" ca="1" si="19"/>
        <v/>
      </c>
      <c r="L60" s="139" t="str">
        <f t="shared" ca="1" si="19"/>
        <v/>
      </c>
      <c r="M60" s="139" t="str">
        <f t="shared" ca="1" si="19"/>
        <v/>
      </c>
      <c r="N60" s="139" t="str">
        <f t="shared" ca="1" si="19"/>
        <v/>
      </c>
      <c r="O60" s="139" t="str">
        <f t="shared" ca="1" si="19"/>
        <v/>
      </c>
      <c r="P60" s="139" t="str">
        <f t="shared" ca="1" si="19"/>
        <v/>
      </c>
      <c r="Q60" s="139" t="str">
        <f t="shared" ca="1" si="19"/>
        <v/>
      </c>
      <c r="R60" s="139" t="str">
        <f t="shared" ca="1" si="19"/>
        <v/>
      </c>
      <c r="T60" s="388" t="str">
        <f>A60</f>
        <v>C.A total (B2B+B2C)</v>
      </c>
      <c r="U60" s="136">
        <f ca="1">SUM(C60:R60)</f>
        <v>3511.9811320754711</v>
      </c>
      <c r="V60" s="133">
        <f ca="1">U60/U45-1</f>
        <v>15.645025168036366</v>
      </c>
    </row>
    <row r="61" spans="1:29">
      <c r="A61" s="376" t="s">
        <v>335</v>
      </c>
      <c r="B61" s="389"/>
      <c r="C61" s="139">
        <f t="shared" ref="C61:R61" ca="1" si="20">IFERROR((C55*C$12)+(C$13*C56),"")</f>
        <v>214.34345530398323</v>
      </c>
      <c r="D61" s="139">
        <f t="shared" ca="1" si="20"/>
        <v>214.34345530398323</v>
      </c>
      <c r="E61" s="139">
        <f t="shared" ca="1" si="20"/>
        <v>214.34345530398323</v>
      </c>
      <c r="F61" s="139">
        <f t="shared" ca="1" si="20"/>
        <v>1513.8613553039831</v>
      </c>
      <c r="G61" s="139">
        <f t="shared" ca="1" si="20"/>
        <v>214.34345530398323</v>
      </c>
      <c r="H61" s="139">
        <f t="shared" ca="1" si="20"/>
        <v>144.39087777777777</v>
      </c>
      <c r="I61" s="139">
        <f t="shared" ca="1" si="20"/>
        <v>0</v>
      </c>
      <c r="J61" s="139">
        <f t="shared" ca="1" si="20"/>
        <v>0</v>
      </c>
      <c r="K61" s="139" t="str">
        <f t="shared" ca="1" si="20"/>
        <v/>
      </c>
      <c r="L61" s="139" t="str">
        <f t="shared" ca="1" si="20"/>
        <v/>
      </c>
      <c r="M61" s="139" t="str">
        <f t="shared" ca="1" si="20"/>
        <v/>
      </c>
      <c r="N61" s="139" t="str">
        <f t="shared" ca="1" si="20"/>
        <v/>
      </c>
      <c r="O61" s="139" t="str">
        <f t="shared" ca="1" si="20"/>
        <v/>
      </c>
      <c r="P61" s="139" t="str">
        <f t="shared" ca="1" si="20"/>
        <v/>
      </c>
      <c r="Q61" s="139" t="str">
        <f t="shared" ca="1" si="20"/>
        <v/>
      </c>
      <c r="R61" s="139" t="str">
        <f t="shared" ca="1" si="20"/>
        <v/>
      </c>
      <c r="T61" s="388" t="str">
        <f>A61</f>
        <v>MB Total (B2B + B2C)</v>
      </c>
      <c r="U61" s="136">
        <f ca="1">SUM(C61:R61)</f>
        <v>2515.6260542976943</v>
      </c>
      <c r="V61" s="133">
        <f ca="1">U61/U47-1</f>
        <v>-0.97524925013880548</v>
      </c>
    </row>
    <row r="62" spans="1:29">
      <c r="A62" s="376" t="s">
        <v>337</v>
      </c>
      <c r="B62" s="389"/>
      <c r="C62" s="133">
        <f t="shared" ref="C62" ca="1" si="21">IFERROR(C60/$U60,"")</f>
        <v>8.4395734278883611E-2</v>
      </c>
      <c r="D62" s="133">
        <f t="shared" ref="D62:R62" ca="1" si="22">IFERROR(D60/$U60,"")</f>
        <v>8.4395734278883611E-2</v>
      </c>
      <c r="E62" s="133">
        <f t="shared" ca="1" si="22"/>
        <v>8.4395734278883611E-2</v>
      </c>
      <c r="F62" s="133">
        <f t="shared" ca="1" si="22"/>
        <v>0.60461493002390743</v>
      </c>
      <c r="G62" s="133">
        <f t="shared" ca="1" si="22"/>
        <v>8.4395734278883611E-2</v>
      </c>
      <c r="H62" s="133">
        <f t="shared" ca="1" si="22"/>
        <v>5.78021328605582E-2</v>
      </c>
      <c r="I62" s="133">
        <f t="shared" ca="1" si="22"/>
        <v>0</v>
      </c>
      <c r="J62" s="133">
        <f t="shared" ca="1" si="22"/>
        <v>0</v>
      </c>
      <c r="K62" s="133" t="str">
        <f t="shared" ca="1" si="22"/>
        <v/>
      </c>
      <c r="L62" s="133" t="str">
        <f t="shared" ca="1" si="22"/>
        <v/>
      </c>
      <c r="M62" s="133" t="str">
        <f t="shared" ca="1" si="22"/>
        <v/>
      </c>
      <c r="N62" s="133" t="str">
        <f t="shared" ca="1" si="22"/>
        <v/>
      </c>
      <c r="O62" s="133" t="str">
        <f t="shared" ca="1" si="22"/>
        <v/>
      </c>
      <c r="P62" s="133" t="str">
        <f t="shared" ca="1" si="22"/>
        <v/>
      </c>
      <c r="Q62" s="133" t="str">
        <f t="shared" ca="1" si="22"/>
        <v/>
      </c>
      <c r="R62" s="133" t="str">
        <f t="shared" ca="1" si="22"/>
        <v/>
      </c>
      <c r="T62" s="388"/>
      <c r="U62" s="386"/>
      <c r="V62" s="393"/>
    </row>
    <row r="63" spans="1:29">
      <c r="A63" s="390"/>
      <c r="B63" s="390"/>
      <c r="C63" s="390"/>
      <c r="D63" s="390"/>
      <c r="E63" s="390"/>
      <c r="F63" s="390"/>
      <c r="G63" s="390"/>
      <c r="H63" s="390"/>
      <c r="I63" s="390"/>
      <c r="J63" s="390"/>
      <c r="K63" s="390"/>
      <c r="L63" s="390"/>
      <c r="M63" s="390"/>
      <c r="N63" s="390"/>
      <c r="O63" s="390"/>
      <c r="P63" s="390"/>
      <c r="Q63" s="390"/>
      <c r="R63" s="390"/>
      <c r="T63" s="386"/>
      <c r="U63" s="392"/>
      <c r="V63" s="394"/>
    </row>
    <row r="64" spans="1:29">
      <c r="A64" s="834" t="s">
        <v>432</v>
      </c>
      <c r="B64" s="834"/>
      <c r="C64" s="834" t="s">
        <v>432</v>
      </c>
      <c r="D64" s="834"/>
      <c r="E64" s="834"/>
      <c r="F64" s="834"/>
      <c r="G64" s="834"/>
      <c r="H64" s="834"/>
      <c r="I64" s="834" t="s">
        <v>432</v>
      </c>
      <c r="J64" s="834"/>
      <c r="K64" s="834"/>
      <c r="L64" s="834"/>
      <c r="M64" s="834"/>
      <c r="N64" s="834"/>
      <c r="O64" s="834"/>
      <c r="P64" s="834"/>
      <c r="Q64" s="834"/>
      <c r="R64" s="834"/>
      <c r="T64" s="143" t="s">
        <v>432</v>
      </c>
      <c r="U64" s="142"/>
      <c r="V64" s="142"/>
      <c r="W64" s="144"/>
      <c r="X64" s="144"/>
      <c r="Y64" s="144"/>
      <c r="Z64" s="144"/>
      <c r="AA64" s="144"/>
      <c r="AB64" s="144"/>
      <c r="AC64" s="144"/>
    </row>
    <row r="65" spans="1:23">
      <c r="A65" s="376" t="s">
        <v>431</v>
      </c>
      <c r="B65" s="389"/>
      <c r="C65" s="145">
        <f ca="1">IFERROR((C60-C61)/C60,"")</f>
        <v>0.27683473606778836</v>
      </c>
      <c r="D65" s="145">
        <f t="shared" ref="D65:R65" ca="1" si="23">IFERROR((D60-D61)/D60,"")</f>
        <v>0.27683473606778836</v>
      </c>
      <c r="E65" s="145">
        <f t="shared" ca="1" si="23"/>
        <v>0.27683473606778836</v>
      </c>
      <c r="F65" s="145">
        <f t="shared" ca="1" si="23"/>
        <v>0.28705658582627408</v>
      </c>
      <c r="G65" s="145">
        <f t="shared" ca="1" si="23"/>
        <v>0.27683473606778836</v>
      </c>
      <c r="H65" s="145">
        <f t="shared" ca="1" si="23"/>
        <v>0.28871488779419807</v>
      </c>
      <c r="I65" s="145" t="str">
        <f t="shared" ca="1" si="23"/>
        <v/>
      </c>
      <c r="J65" s="145" t="str">
        <f t="shared" ca="1" si="23"/>
        <v/>
      </c>
      <c r="K65" s="145" t="str">
        <f t="shared" ca="1" si="23"/>
        <v/>
      </c>
      <c r="L65" s="145" t="str">
        <f t="shared" ca="1" si="23"/>
        <v/>
      </c>
      <c r="M65" s="145" t="str">
        <f t="shared" ca="1" si="23"/>
        <v/>
      </c>
      <c r="N65" s="145" t="str">
        <f t="shared" ca="1" si="23"/>
        <v/>
      </c>
      <c r="O65" s="145" t="str">
        <f t="shared" ca="1" si="23"/>
        <v/>
      </c>
      <c r="P65" s="145" t="str">
        <f t="shared" ca="1" si="23"/>
        <v/>
      </c>
      <c r="Q65" s="145" t="str">
        <f t="shared" ca="1" si="23"/>
        <v/>
      </c>
      <c r="R65" s="145" t="str">
        <f t="shared" ca="1" si="23"/>
        <v/>
      </c>
      <c r="T65" s="395" t="str">
        <f>A65</f>
        <v xml:space="preserve">Ratio Achat Vente (B2C + B2B) </v>
      </c>
      <c r="U65" s="146">
        <f ca="1">SUMPRODUCT(C65:R65,C$60:R$60)/SUM(C$60:R$60)</f>
        <v>0.28370171715272363</v>
      </c>
      <c r="V65" s="375"/>
    </row>
    <row r="66" spans="1:23">
      <c r="A66" s="376" t="s">
        <v>447</v>
      </c>
      <c r="B66" s="389"/>
      <c r="C66" s="145">
        <f ca="1">IFERROR(1-C65,"")</f>
        <v>0.7231652639322117</v>
      </c>
      <c r="D66" s="145">
        <f t="shared" ref="D66:R66" ca="1" si="24">IFERROR(1-D65,"")</f>
        <v>0.7231652639322117</v>
      </c>
      <c r="E66" s="145">
        <f t="shared" ca="1" si="24"/>
        <v>0.7231652639322117</v>
      </c>
      <c r="F66" s="145">
        <f t="shared" ca="1" si="24"/>
        <v>0.71294341417372586</v>
      </c>
      <c r="G66" s="145">
        <f t="shared" ca="1" si="24"/>
        <v>0.7231652639322117</v>
      </c>
      <c r="H66" s="145">
        <f t="shared" ca="1" si="24"/>
        <v>0.71128511220580193</v>
      </c>
      <c r="I66" s="145" t="str">
        <f t="shared" ca="1" si="24"/>
        <v/>
      </c>
      <c r="J66" s="145" t="str">
        <f t="shared" ca="1" si="24"/>
        <v/>
      </c>
      <c r="K66" s="145" t="str">
        <f t="shared" ca="1" si="24"/>
        <v/>
      </c>
      <c r="L66" s="145" t="str">
        <f t="shared" ca="1" si="24"/>
        <v/>
      </c>
      <c r="M66" s="145" t="str">
        <f t="shared" ca="1" si="24"/>
        <v/>
      </c>
      <c r="N66" s="145" t="str">
        <f t="shared" ca="1" si="24"/>
        <v/>
      </c>
      <c r="O66" s="145" t="str">
        <f t="shared" ca="1" si="24"/>
        <v/>
      </c>
      <c r="P66" s="145" t="str">
        <f t="shared" ca="1" si="24"/>
        <v/>
      </c>
      <c r="Q66" s="145" t="str">
        <f t="shared" ca="1" si="24"/>
        <v/>
      </c>
      <c r="R66" s="145" t="str">
        <f t="shared" ca="1" si="24"/>
        <v/>
      </c>
      <c r="T66" s="395"/>
      <c r="U66" s="146"/>
      <c r="V66" s="375"/>
    </row>
    <row r="67" spans="1:23">
      <c r="A67" s="376" t="s">
        <v>428</v>
      </c>
      <c r="B67" s="389"/>
      <c r="C67" s="145">
        <f t="shared" ref="C67:R67" ca="1" si="25">IFERROR(((C16*C$14*C$55*C$6)+(C16*C$15*C$56)*C$7)/C$60,"")</f>
        <v>0.19941043350945323</v>
      </c>
      <c r="D67" s="145">
        <f t="shared" ca="1" si="25"/>
        <v>0.19941043350945323</v>
      </c>
      <c r="E67" s="145">
        <f t="shared" ca="1" si="25"/>
        <v>0.19941043350945323</v>
      </c>
      <c r="F67" s="145">
        <f t="shared" ca="1" si="25"/>
        <v>0.20677346721165812</v>
      </c>
      <c r="G67" s="145">
        <f t="shared" ca="1" si="25"/>
        <v>0.19941043350945323</v>
      </c>
      <c r="H67" s="145">
        <f t="shared" ca="1" si="25"/>
        <v>0.20796798029556657</v>
      </c>
      <c r="I67" s="145" t="str">
        <f t="shared" ca="1" si="25"/>
        <v/>
      </c>
      <c r="J67" s="145" t="str">
        <f t="shared" ca="1" si="25"/>
        <v/>
      </c>
      <c r="K67" s="145" t="str">
        <f t="shared" ca="1" si="25"/>
        <v/>
      </c>
      <c r="L67" s="145" t="str">
        <f t="shared" ca="1" si="25"/>
        <v/>
      </c>
      <c r="M67" s="145" t="str">
        <f t="shared" ca="1" si="25"/>
        <v/>
      </c>
      <c r="N67" s="145" t="str">
        <f t="shared" ca="1" si="25"/>
        <v/>
      </c>
      <c r="O67" s="145" t="str">
        <f t="shared" ca="1" si="25"/>
        <v/>
      </c>
      <c r="P67" s="145" t="str">
        <f t="shared" ca="1" si="25"/>
        <v/>
      </c>
      <c r="Q67" s="145" t="str">
        <f t="shared" ca="1" si="25"/>
        <v/>
      </c>
      <c r="R67" s="145" t="str">
        <f t="shared" ca="1" si="25"/>
        <v/>
      </c>
      <c r="T67" s="395" t="str">
        <f t="shared" ref="T67:T71" si="26">A67</f>
        <v xml:space="preserve">Prop. Matières premières dans C.A </v>
      </c>
      <c r="U67" s="146">
        <f ca="1">SUMPRODUCT(C67:R67,C$60:R$60)/SUM(C$60:R$60)</f>
        <v>0.20435687807236688</v>
      </c>
      <c r="V67" s="375"/>
    </row>
    <row r="68" spans="1:23">
      <c r="A68" s="389" t="s">
        <v>429</v>
      </c>
      <c r="B68" s="389"/>
      <c r="C68" s="145">
        <f t="shared" ref="C68:R68" ca="1" si="27">IFERROR(((C17*C$14*C$55*C$6)+(C17*C$15*C$56)*C$7)/C$60,"")</f>
        <v>7.5892554162157594E-2</v>
      </c>
      <c r="D68" s="145">
        <f t="shared" ca="1" si="27"/>
        <v>7.5892554162157594E-2</v>
      </c>
      <c r="E68" s="145">
        <f t="shared" ca="1" si="27"/>
        <v>7.5892554162157594E-2</v>
      </c>
      <c r="F68" s="145">
        <f t="shared" ca="1" si="27"/>
        <v>7.8694811918725197E-2</v>
      </c>
      <c r="G68" s="145">
        <f t="shared" ca="1" si="27"/>
        <v>7.5892554162157594E-2</v>
      </c>
      <c r="H68" s="145">
        <f t="shared" ca="1" si="27"/>
        <v>7.9149425287356343E-2</v>
      </c>
      <c r="I68" s="145" t="str">
        <f t="shared" ca="1" si="27"/>
        <v/>
      </c>
      <c r="J68" s="145" t="str">
        <f t="shared" ca="1" si="27"/>
        <v/>
      </c>
      <c r="K68" s="145" t="str">
        <f t="shared" ca="1" si="27"/>
        <v/>
      </c>
      <c r="L68" s="145" t="str">
        <f t="shared" ca="1" si="27"/>
        <v/>
      </c>
      <c r="M68" s="145" t="str">
        <f t="shared" ca="1" si="27"/>
        <v/>
      </c>
      <c r="N68" s="145" t="str">
        <f t="shared" ca="1" si="27"/>
        <v/>
      </c>
      <c r="O68" s="145" t="str">
        <f t="shared" ca="1" si="27"/>
        <v/>
      </c>
      <c r="P68" s="145" t="str">
        <f t="shared" ca="1" si="27"/>
        <v/>
      </c>
      <c r="Q68" s="145" t="str">
        <f t="shared" ca="1" si="27"/>
        <v/>
      </c>
      <c r="R68" s="145" t="str">
        <f t="shared" ca="1" si="27"/>
        <v/>
      </c>
      <c r="T68" s="395" t="str">
        <f t="shared" si="26"/>
        <v xml:space="preserve">Prop. Consommables dans C.A </v>
      </c>
      <c r="U68" s="146">
        <f ca="1">SUMPRODUCT(C68:R68,C$60:R$60)/SUM(C$60:R$60)</f>
        <v>7.777509513704213E-2</v>
      </c>
      <c r="V68" s="375"/>
    </row>
    <row r="69" spans="1:23">
      <c r="A69" s="376" t="s">
        <v>430</v>
      </c>
      <c r="B69" s="389"/>
      <c r="C69" s="145">
        <f t="shared" ref="C69:R69" ca="1" si="28">IFERROR(((C18*C$14*C$55*C$6)+(C18*C$15*C$56)*C$7)/C$60,"")</f>
        <v>1.5317483961777049E-3</v>
      </c>
      <c r="D69" s="145">
        <f t="shared" ca="1" si="28"/>
        <v>1.5317483961777049E-3</v>
      </c>
      <c r="E69" s="145">
        <f t="shared" ca="1" si="28"/>
        <v>1.5317483961777049E-3</v>
      </c>
      <c r="F69" s="145">
        <f t="shared" ca="1" si="28"/>
        <v>1.5883066958908446E-3</v>
      </c>
      <c r="G69" s="145">
        <f t="shared" ca="1" si="28"/>
        <v>1.5317483961777049E-3</v>
      </c>
      <c r="H69" s="145">
        <f t="shared" ca="1" si="28"/>
        <v>1.5974822112753155E-3</v>
      </c>
      <c r="I69" s="145" t="str">
        <f t="shared" ca="1" si="28"/>
        <v/>
      </c>
      <c r="J69" s="145" t="str">
        <f t="shared" ca="1" si="28"/>
        <v/>
      </c>
      <c r="K69" s="145" t="str">
        <f t="shared" ca="1" si="28"/>
        <v/>
      </c>
      <c r="L69" s="145" t="str">
        <f t="shared" ca="1" si="28"/>
        <v/>
      </c>
      <c r="M69" s="145" t="str">
        <f t="shared" ca="1" si="28"/>
        <v/>
      </c>
      <c r="N69" s="145" t="str">
        <f t="shared" ca="1" si="28"/>
        <v/>
      </c>
      <c r="O69" s="145" t="str">
        <f t="shared" ca="1" si="28"/>
        <v/>
      </c>
      <c r="P69" s="145" t="str">
        <f t="shared" ca="1" si="28"/>
        <v/>
      </c>
      <c r="Q69" s="145" t="str">
        <f t="shared" ca="1" si="28"/>
        <v/>
      </c>
      <c r="R69" s="145" t="str">
        <f t="shared" ca="1" si="28"/>
        <v/>
      </c>
      <c r="T69" s="395" t="str">
        <f t="shared" si="26"/>
        <v xml:space="preserve">Prop. Energie dans C.A </v>
      </c>
      <c r="U69" s="146">
        <f ca="1">SUMPRODUCT(C69:R69,C$60:R$60)/SUM(C$60:R$60)</f>
        <v>1.5697439433147392E-3</v>
      </c>
      <c r="V69" s="375"/>
    </row>
    <row r="70" spans="1:23">
      <c r="A70" s="390" t="s">
        <v>519</v>
      </c>
      <c r="B70" s="375"/>
      <c r="C70" s="147">
        <f ca="1">IFERROR(C22/C10*(C55+C56+C58)/60,"")</f>
        <v>3.2</v>
      </c>
      <c r="D70" s="147">
        <f t="shared" ref="D70:R70" ca="1" si="29">IFERROR(D22/D10*(D55+D56+D58)/60,"")</f>
        <v>5.333333333333333</v>
      </c>
      <c r="E70" s="147">
        <f t="shared" ca="1" si="29"/>
        <v>7.4666666666666668</v>
      </c>
      <c r="F70" s="147">
        <f t="shared" ca="1" si="29"/>
        <v>9.6</v>
      </c>
      <c r="G70" s="147">
        <f t="shared" ca="1" si="29"/>
        <v>11.733333333333333</v>
      </c>
      <c r="H70" s="147">
        <f t="shared" ca="1" si="29"/>
        <v>4.2666666666666666</v>
      </c>
      <c r="I70" s="147">
        <f t="shared" ca="1" si="29"/>
        <v>0</v>
      </c>
      <c r="J70" s="147">
        <f t="shared" ca="1" si="29"/>
        <v>0</v>
      </c>
      <c r="K70" s="147" t="str">
        <f t="shared" ca="1" si="29"/>
        <v/>
      </c>
      <c r="L70" s="147" t="str">
        <f t="shared" ca="1" si="29"/>
        <v/>
      </c>
      <c r="M70" s="147" t="str">
        <f t="shared" ca="1" si="29"/>
        <v/>
      </c>
      <c r="N70" s="147" t="str">
        <f t="shared" ca="1" si="29"/>
        <v/>
      </c>
      <c r="O70" s="147" t="str">
        <f t="shared" ca="1" si="29"/>
        <v/>
      </c>
      <c r="P70" s="147" t="str">
        <f t="shared" ca="1" si="29"/>
        <v/>
      </c>
      <c r="Q70" s="147" t="str">
        <f t="shared" ca="1" si="29"/>
        <v/>
      </c>
      <c r="R70" s="147" t="str">
        <f t="shared" ca="1" si="29"/>
        <v/>
      </c>
      <c r="T70" s="395" t="str">
        <f t="shared" si="26"/>
        <v>Heures travail production (delta stock + unités vendues)</v>
      </c>
      <c r="U70" s="148">
        <f ca="1">SUM(C70:R70)</f>
        <v>41.6</v>
      </c>
      <c r="V70" s="394"/>
    </row>
    <row r="71" spans="1:23">
      <c r="A71" s="375" t="s">
        <v>446</v>
      </c>
      <c r="B71" s="375"/>
      <c r="C71" s="135">
        <f ca="1">IFERROR(C61/C70,"")</f>
        <v>66.982329782494759</v>
      </c>
      <c r="D71" s="135">
        <f t="shared" ref="D71:R71" ca="1" si="30">IFERROR(D61/D70,"")</f>
        <v>40.189397869496858</v>
      </c>
      <c r="E71" s="135">
        <f t="shared" ca="1" si="30"/>
        <v>28.706712763926326</v>
      </c>
      <c r="F71" s="135">
        <f t="shared" ca="1" si="30"/>
        <v>157.69389117749824</v>
      </c>
      <c r="G71" s="135">
        <f t="shared" ca="1" si="30"/>
        <v>18.267908122498572</v>
      </c>
      <c r="H71" s="135">
        <f t="shared" ca="1" si="30"/>
        <v>33.841611979166665</v>
      </c>
      <c r="I71" s="135" t="str">
        <f t="shared" ca="1" si="30"/>
        <v/>
      </c>
      <c r="J71" s="135" t="str">
        <f t="shared" ca="1" si="30"/>
        <v/>
      </c>
      <c r="K71" s="135" t="str">
        <f t="shared" ca="1" si="30"/>
        <v/>
      </c>
      <c r="L71" s="135" t="str">
        <f t="shared" ca="1" si="30"/>
        <v/>
      </c>
      <c r="M71" s="135" t="str">
        <f t="shared" ca="1" si="30"/>
        <v/>
      </c>
      <c r="N71" s="135" t="str">
        <f t="shared" ca="1" si="30"/>
        <v/>
      </c>
      <c r="O71" s="135" t="str">
        <f t="shared" ca="1" si="30"/>
        <v/>
      </c>
      <c r="P71" s="135" t="str">
        <f t="shared" ca="1" si="30"/>
        <v/>
      </c>
      <c r="Q71" s="135" t="str">
        <f t="shared" ca="1" si="30"/>
        <v/>
      </c>
      <c r="R71" s="135" t="str">
        <f t="shared" ca="1" si="30"/>
        <v/>
      </c>
      <c r="T71" s="395" t="str">
        <f t="shared" si="26"/>
        <v>Marge Brute totale / heure de travail</v>
      </c>
      <c r="U71" s="148">
        <f ca="1">U61/U70</f>
        <v>60.471780151386881</v>
      </c>
      <c r="V71" s="375"/>
      <c r="W71" s="140"/>
    </row>
    <row r="72" spans="1:23">
      <c r="A72" s="375"/>
      <c r="B72" s="375"/>
      <c r="C72" s="375"/>
      <c r="D72" s="375"/>
      <c r="E72" s="375"/>
      <c r="F72" s="375"/>
      <c r="G72" s="375"/>
      <c r="H72" s="375"/>
      <c r="I72" s="375"/>
      <c r="J72" s="375"/>
      <c r="K72" s="375"/>
      <c r="L72" s="375"/>
      <c r="M72" s="375"/>
      <c r="N72" s="375"/>
      <c r="O72" s="375"/>
      <c r="P72" s="375"/>
      <c r="Q72" s="375"/>
      <c r="R72" s="375"/>
      <c r="T72" s="375"/>
      <c r="U72" s="396"/>
      <c r="V72" s="375"/>
      <c r="W72" s="140"/>
    </row>
    <row r="73" spans="1:23">
      <c r="A73" s="833" t="str">
        <f>"Année prochaine : "&amp;'1. DONNEES DE BASE'!$B$1+1</f>
        <v>Année prochaine : 2027</v>
      </c>
      <c r="B73" s="833"/>
      <c r="C73" s="833"/>
      <c r="D73" s="833"/>
      <c r="E73" s="833"/>
      <c r="F73" s="833"/>
      <c r="G73" s="833"/>
      <c r="H73" s="833"/>
      <c r="I73" s="833" t="s">
        <v>427</v>
      </c>
      <c r="J73" s="833"/>
      <c r="K73" s="833"/>
      <c r="L73" s="833"/>
      <c r="M73" s="833"/>
      <c r="N73" s="833"/>
      <c r="O73" s="833"/>
      <c r="P73" s="833"/>
      <c r="Q73" s="833"/>
      <c r="R73" s="833"/>
      <c r="T73" s="121" t="s">
        <v>191</v>
      </c>
      <c r="U73" s="122"/>
      <c r="V73" s="826" t="s">
        <v>436</v>
      </c>
    </row>
    <row r="74" spans="1:23">
      <c r="A74" s="376" t="s">
        <v>333</v>
      </c>
      <c r="B74" s="380"/>
      <c r="C74" s="381">
        <v>200</v>
      </c>
      <c r="D74" s="381">
        <v>201</v>
      </c>
      <c r="E74" s="381">
        <v>202</v>
      </c>
      <c r="F74" s="381">
        <v>203</v>
      </c>
      <c r="G74" s="381">
        <v>204</v>
      </c>
      <c r="H74" s="381">
        <v>205</v>
      </c>
      <c r="I74" s="381">
        <v>0</v>
      </c>
      <c r="J74" s="381">
        <v>0</v>
      </c>
      <c r="K74" s="381">
        <v>0</v>
      </c>
      <c r="L74" s="381">
        <v>0</v>
      </c>
      <c r="M74" s="381">
        <v>0</v>
      </c>
      <c r="N74" s="381">
        <v>0</v>
      </c>
      <c r="O74" s="381">
        <v>0</v>
      </c>
      <c r="P74" s="381">
        <v>0</v>
      </c>
      <c r="Q74" s="381">
        <v>0</v>
      </c>
      <c r="R74" s="381">
        <v>0</v>
      </c>
      <c r="T74" s="123"/>
      <c r="U74" s="124"/>
      <c r="V74" s="827"/>
    </row>
    <row r="75" spans="1:23">
      <c r="A75" s="376" t="s">
        <v>186</v>
      </c>
      <c r="B75" s="380"/>
      <c r="C75" s="141">
        <f t="shared" ref="C75:R75" si="31">C58</f>
        <v>80</v>
      </c>
      <c r="D75" s="141">
        <f t="shared" si="31"/>
        <v>180</v>
      </c>
      <c r="E75" s="141">
        <f t="shared" si="31"/>
        <v>280</v>
      </c>
      <c r="F75" s="141">
        <f t="shared" si="31"/>
        <v>-70</v>
      </c>
      <c r="G75" s="141">
        <f t="shared" si="31"/>
        <v>480</v>
      </c>
      <c r="H75" s="141">
        <f t="shared" si="31"/>
        <v>150</v>
      </c>
      <c r="I75" s="141">
        <f t="shared" si="31"/>
        <v>0</v>
      </c>
      <c r="J75" s="141">
        <f t="shared" si="31"/>
        <v>0</v>
      </c>
      <c r="K75" s="141">
        <f t="shared" si="31"/>
        <v>0</v>
      </c>
      <c r="L75" s="141">
        <f t="shared" si="31"/>
        <v>0</v>
      </c>
      <c r="M75" s="141">
        <f t="shared" si="31"/>
        <v>0</v>
      </c>
      <c r="N75" s="141">
        <f t="shared" si="31"/>
        <v>0</v>
      </c>
      <c r="O75" s="141">
        <f t="shared" si="31"/>
        <v>0</v>
      </c>
      <c r="P75" s="141">
        <f t="shared" si="31"/>
        <v>0</v>
      </c>
      <c r="Q75" s="141">
        <f t="shared" si="31"/>
        <v>0</v>
      </c>
      <c r="R75" s="141">
        <f t="shared" si="31"/>
        <v>0</v>
      </c>
      <c r="T75" s="386" t="s">
        <v>341</v>
      </c>
      <c r="U75" s="125">
        <f ca="1">(U82-U83)/U82</f>
        <v>0.27683473606778836</v>
      </c>
      <c r="V75" s="133">
        <f t="shared" ref="V75:V83" ca="1" si="32">U75/U53-1</f>
        <v>-2.4204933103166404E-2</v>
      </c>
    </row>
    <row r="76" spans="1:23">
      <c r="A76" s="376" t="s">
        <v>334</v>
      </c>
      <c r="B76" s="387"/>
      <c r="C76" s="381">
        <v>50</v>
      </c>
      <c r="D76" s="381">
        <v>50</v>
      </c>
      <c r="E76" s="381">
        <v>50</v>
      </c>
      <c r="F76" s="381">
        <v>50</v>
      </c>
      <c r="G76" s="381">
        <v>50</v>
      </c>
      <c r="H76" s="381">
        <v>50</v>
      </c>
      <c r="I76" s="381">
        <v>0</v>
      </c>
      <c r="J76" s="381">
        <v>0</v>
      </c>
      <c r="K76" s="381">
        <v>0</v>
      </c>
      <c r="L76" s="381">
        <v>0</v>
      </c>
      <c r="M76" s="381">
        <v>0</v>
      </c>
      <c r="N76" s="381">
        <v>0</v>
      </c>
      <c r="O76" s="381">
        <v>0</v>
      </c>
      <c r="P76" s="381">
        <v>0</v>
      </c>
      <c r="Q76" s="381">
        <v>0</v>
      </c>
      <c r="R76" s="381">
        <v>0</v>
      </c>
      <c r="T76" s="388" t="s">
        <v>435</v>
      </c>
      <c r="U76" s="126">
        <f>(U78)/(U78+U77)</f>
        <v>0.2857142857142857</v>
      </c>
      <c r="V76" s="133">
        <f t="shared" si="32"/>
        <v>1.4285714285714284</v>
      </c>
    </row>
    <row r="77" spans="1:23">
      <c r="A77" s="376" t="s">
        <v>188</v>
      </c>
      <c r="B77" s="380"/>
      <c r="C77" s="381">
        <v>50</v>
      </c>
      <c r="D77" s="381">
        <v>50</v>
      </c>
      <c r="E77" s="381">
        <v>50</v>
      </c>
      <c r="F77" s="381">
        <v>50</v>
      </c>
      <c r="G77" s="381">
        <v>50</v>
      </c>
      <c r="H77" s="381">
        <v>50</v>
      </c>
      <c r="I77" s="381">
        <v>0</v>
      </c>
      <c r="J77" s="381">
        <v>0</v>
      </c>
      <c r="K77" s="381">
        <v>0</v>
      </c>
      <c r="L77" s="381">
        <v>0</v>
      </c>
      <c r="M77" s="381">
        <v>0</v>
      </c>
      <c r="N77" s="381">
        <v>0</v>
      </c>
      <c r="O77" s="381">
        <v>0</v>
      </c>
      <c r="P77" s="381">
        <v>0</v>
      </c>
      <c r="Q77" s="381">
        <v>0</v>
      </c>
      <c r="R77" s="381">
        <v>0</v>
      </c>
      <c r="T77" s="388" t="str">
        <f>A77</f>
        <v>Unités vendues B2B</v>
      </c>
      <c r="U77" s="127">
        <f>SUM(C77:R77)</f>
        <v>300</v>
      </c>
      <c r="V77" s="133">
        <f t="shared" si="32"/>
        <v>-0.6</v>
      </c>
    </row>
    <row r="78" spans="1:23">
      <c r="A78" s="376" t="s">
        <v>190</v>
      </c>
      <c r="B78" s="380"/>
      <c r="C78" s="381">
        <v>20</v>
      </c>
      <c r="D78" s="381">
        <v>20</v>
      </c>
      <c r="E78" s="381">
        <v>20</v>
      </c>
      <c r="F78" s="381">
        <v>20</v>
      </c>
      <c r="G78" s="381">
        <v>20</v>
      </c>
      <c r="H78" s="381">
        <v>20</v>
      </c>
      <c r="I78" s="381">
        <v>0</v>
      </c>
      <c r="J78" s="381">
        <v>0</v>
      </c>
      <c r="K78" s="381">
        <v>0</v>
      </c>
      <c r="L78" s="381">
        <v>0</v>
      </c>
      <c r="M78" s="381">
        <v>0</v>
      </c>
      <c r="N78" s="381">
        <v>0</v>
      </c>
      <c r="O78" s="381">
        <v>0</v>
      </c>
      <c r="P78" s="381">
        <v>0</v>
      </c>
      <c r="Q78" s="381">
        <v>0</v>
      </c>
      <c r="R78" s="381">
        <v>0</v>
      </c>
      <c r="T78" s="388" t="str">
        <f>A78</f>
        <v>Unités vendues B2C</v>
      </c>
      <c r="U78" s="127">
        <f>SUM(C78:R78)</f>
        <v>120</v>
      </c>
      <c r="V78" s="133">
        <f t="shared" si="32"/>
        <v>0.19999999999999996</v>
      </c>
    </row>
    <row r="79" spans="1:23">
      <c r="A79" s="376" t="s">
        <v>336</v>
      </c>
      <c r="B79" s="387"/>
      <c r="C79" s="128">
        <f>IFERROR(C77/(C77+C78),"")</f>
        <v>0.7142857142857143</v>
      </c>
      <c r="D79" s="128">
        <f t="shared" ref="D79:R79" si="33">IFERROR(D77/(D77+D78),"")</f>
        <v>0.7142857142857143</v>
      </c>
      <c r="E79" s="128">
        <f t="shared" si="33"/>
        <v>0.7142857142857143</v>
      </c>
      <c r="F79" s="128">
        <f t="shared" si="33"/>
        <v>0.7142857142857143</v>
      </c>
      <c r="G79" s="128">
        <f t="shared" si="33"/>
        <v>0.7142857142857143</v>
      </c>
      <c r="H79" s="128">
        <f t="shared" si="33"/>
        <v>0.7142857142857143</v>
      </c>
      <c r="I79" s="128" t="str">
        <f t="shared" si="33"/>
        <v/>
      </c>
      <c r="J79" s="128" t="str">
        <f t="shared" si="33"/>
        <v/>
      </c>
      <c r="K79" s="128" t="str">
        <f t="shared" si="33"/>
        <v/>
      </c>
      <c r="L79" s="128" t="str">
        <f t="shared" si="33"/>
        <v/>
      </c>
      <c r="M79" s="128" t="str">
        <f t="shared" si="33"/>
        <v/>
      </c>
      <c r="N79" s="128" t="str">
        <f t="shared" si="33"/>
        <v/>
      </c>
      <c r="O79" s="128" t="str">
        <f t="shared" si="33"/>
        <v/>
      </c>
      <c r="P79" s="128" t="str">
        <f t="shared" si="33"/>
        <v/>
      </c>
      <c r="Q79" s="128" t="str">
        <f t="shared" si="33"/>
        <v/>
      </c>
      <c r="R79" s="128" t="str">
        <f t="shared" si="33"/>
        <v/>
      </c>
      <c r="S79" s="129"/>
      <c r="T79" s="388" t="s">
        <v>434</v>
      </c>
      <c r="U79" s="130">
        <f ca="1">SUMPRODUCT(C78:R78,C$7:R$7)/U82</f>
        <v>0.31510599019670255</v>
      </c>
      <c r="V79" s="133">
        <f t="shared" ca="1" si="32"/>
        <v>1.3697880196065944</v>
      </c>
    </row>
    <row r="80" spans="1:23">
      <c r="A80" s="376" t="s">
        <v>516</v>
      </c>
      <c r="B80" s="389"/>
      <c r="C80" s="131">
        <f>IFERROR(C74-C77-C78-C76,"")</f>
        <v>80</v>
      </c>
      <c r="D80" s="131">
        <f t="shared" ref="D80:R80" si="34">IFERROR(D74-D77-D78-D76,"")</f>
        <v>81</v>
      </c>
      <c r="E80" s="131">
        <f t="shared" si="34"/>
        <v>82</v>
      </c>
      <c r="F80" s="131">
        <f t="shared" si="34"/>
        <v>83</v>
      </c>
      <c r="G80" s="131">
        <f t="shared" si="34"/>
        <v>84</v>
      </c>
      <c r="H80" s="131">
        <f t="shared" si="34"/>
        <v>85</v>
      </c>
      <c r="I80" s="131">
        <f t="shared" si="34"/>
        <v>0</v>
      </c>
      <c r="J80" s="131">
        <f t="shared" si="34"/>
        <v>0</v>
      </c>
      <c r="K80" s="131">
        <f t="shared" si="34"/>
        <v>0</v>
      </c>
      <c r="L80" s="131">
        <f t="shared" si="34"/>
        <v>0</v>
      </c>
      <c r="M80" s="131">
        <f t="shared" si="34"/>
        <v>0</v>
      </c>
      <c r="N80" s="131">
        <f t="shared" si="34"/>
        <v>0</v>
      </c>
      <c r="O80" s="131">
        <f t="shared" si="34"/>
        <v>0</v>
      </c>
      <c r="P80" s="131">
        <f t="shared" si="34"/>
        <v>0</v>
      </c>
      <c r="Q80" s="131">
        <f t="shared" si="34"/>
        <v>0</v>
      </c>
      <c r="R80" s="131">
        <f t="shared" si="34"/>
        <v>0</v>
      </c>
      <c r="S80" s="129"/>
      <c r="T80" s="388" t="s">
        <v>517</v>
      </c>
      <c r="U80" s="132">
        <f ca="1">SUMPRODUCT(C80:R80,C$11:R$11)</f>
        <v>580.23030999999992</v>
      </c>
      <c r="V80" s="133">
        <f t="shared" ca="1" si="32"/>
        <v>-0.55000000000000004</v>
      </c>
    </row>
    <row r="81" spans="1:23">
      <c r="A81" s="376" t="s">
        <v>540</v>
      </c>
      <c r="B81" s="375"/>
      <c r="C81" s="138">
        <f ca="1">IFERROR(C$19*(C77+C78),"")</f>
        <v>54.444444444444443</v>
      </c>
      <c r="D81" s="138">
        <f t="shared" ref="D81:R81" ca="1" si="35">IFERROR(D$19*(D77+D78),"")</f>
        <v>54.444444444444443</v>
      </c>
      <c r="E81" s="138">
        <f t="shared" ca="1" si="35"/>
        <v>54.444444444444443</v>
      </c>
      <c r="F81" s="138">
        <f t="shared" ca="1" si="35"/>
        <v>54.444444444444443</v>
      </c>
      <c r="G81" s="138">
        <f t="shared" ca="1" si="35"/>
        <v>54.444444444444443</v>
      </c>
      <c r="H81" s="138">
        <f t="shared" ca="1" si="35"/>
        <v>54.444444444444443</v>
      </c>
      <c r="I81" s="134">
        <f t="shared" ca="1" si="35"/>
        <v>0</v>
      </c>
      <c r="J81" s="134">
        <f t="shared" ca="1" si="35"/>
        <v>0</v>
      </c>
      <c r="K81" s="134" t="str">
        <f t="shared" ca="1" si="35"/>
        <v/>
      </c>
      <c r="L81" s="134" t="str">
        <f t="shared" ca="1" si="35"/>
        <v/>
      </c>
      <c r="M81" s="134" t="str">
        <f t="shared" ca="1" si="35"/>
        <v/>
      </c>
      <c r="N81" s="134" t="str">
        <f t="shared" ca="1" si="35"/>
        <v/>
      </c>
      <c r="O81" s="134" t="str">
        <f t="shared" ca="1" si="35"/>
        <v/>
      </c>
      <c r="P81" s="134" t="str">
        <f t="shared" ca="1" si="35"/>
        <v/>
      </c>
      <c r="Q81" s="134" t="str">
        <f t="shared" ca="1" si="35"/>
        <v/>
      </c>
      <c r="R81" s="134" t="str">
        <f t="shared" ca="1" si="35"/>
        <v/>
      </c>
      <c r="S81" s="129"/>
      <c r="T81" s="388" t="s">
        <v>541</v>
      </c>
      <c r="U81" s="132">
        <f ca="1">SUM(C81:R81)</f>
        <v>326.66666666666669</v>
      </c>
      <c r="V81" s="133">
        <f t="shared" ca="1" si="32"/>
        <v>-0.50588235294117645</v>
      </c>
    </row>
    <row r="82" spans="1:23">
      <c r="A82" s="376" t="s">
        <v>189</v>
      </c>
      <c r="B82" s="389"/>
      <c r="C82" s="139">
        <f t="shared" ref="C82:R82" ca="1" si="36">IFERROR((C77*C$6)+(C$7*C78),"")</f>
        <v>296.3962264150943</v>
      </c>
      <c r="D82" s="139">
        <f t="shared" ca="1" si="36"/>
        <v>296.3962264150943</v>
      </c>
      <c r="E82" s="139">
        <f t="shared" ca="1" si="36"/>
        <v>296.3962264150943</v>
      </c>
      <c r="F82" s="139">
        <f t="shared" ca="1" si="36"/>
        <v>296.3962264150943</v>
      </c>
      <c r="G82" s="139">
        <f t="shared" ca="1" si="36"/>
        <v>296.3962264150943</v>
      </c>
      <c r="H82" s="139">
        <f t="shared" ca="1" si="36"/>
        <v>296.3962264150943</v>
      </c>
      <c r="I82" s="139">
        <f t="shared" ca="1" si="36"/>
        <v>0</v>
      </c>
      <c r="J82" s="139">
        <f t="shared" ca="1" si="36"/>
        <v>0</v>
      </c>
      <c r="K82" s="139" t="str">
        <f t="shared" ca="1" si="36"/>
        <v/>
      </c>
      <c r="L82" s="139" t="str">
        <f t="shared" ca="1" si="36"/>
        <v/>
      </c>
      <c r="M82" s="139" t="str">
        <f t="shared" ca="1" si="36"/>
        <v/>
      </c>
      <c r="N82" s="139" t="str">
        <f t="shared" ca="1" si="36"/>
        <v/>
      </c>
      <c r="O82" s="139" t="str">
        <f t="shared" ca="1" si="36"/>
        <v/>
      </c>
      <c r="P82" s="139" t="str">
        <f t="shared" ca="1" si="36"/>
        <v/>
      </c>
      <c r="Q82" s="139" t="str">
        <f t="shared" ca="1" si="36"/>
        <v/>
      </c>
      <c r="R82" s="139" t="str">
        <f t="shared" ca="1" si="36"/>
        <v/>
      </c>
      <c r="T82" s="388" t="str">
        <f>A82</f>
        <v>C.A total (B2B+B2C)</v>
      </c>
      <c r="U82" s="136">
        <f ca="1">SUM(C82:R82)</f>
        <v>1778.3773584905659</v>
      </c>
      <c r="V82" s="133">
        <f t="shared" ca="1" si="32"/>
        <v>-0.49362559432669828</v>
      </c>
    </row>
    <row r="83" spans="1:23">
      <c r="A83" s="376" t="s">
        <v>335</v>
      </c>
      <c r="B83" s="375"/>
      <c r="C83" s="135">
        <f t="shared" ref="C83:R83" ca="1" si="37">IFERROR((C77*C$12)+(C$13*C78),"")</f>
        <v>214.34345530398323</v>
      </c>
      <c r="D83" s="135">
        <f t="shared" ca="1" si="37"/>
        <v>214.34345530398323</v>
      </c>
      <c r="E83" s="135">
        <f t="shared" ca="1" si="37"/>
        <v>214.34345530398323</v>
      </c>
      <c r="F83" s="135">
        <f t="shared" ca="1" si="37"/>
        <v>214.34345530398323</v>
      </c>
      <c r="G83" s="135">
        <f t="shared" ca="1" si="37"/>
        <v>214.34345530398323</v>
      </c>
      <c r="H83" s="135">
        <f t="shared" ca="1" si="37"/>
        <v>214.34345530398323</v>
      </c>
      <c r="I83" s="135">
        <f t="shared" ca="1" si="37"/>
        <v>0</v>
      </c>
      <c r="J83" s="135">
        <f t="shared" ca="1" si="37"/>
        <v>0</v>
      </c>
      <c r="K83" s="135" t="str">
        <f t="shared" ca="1" si="37"/>
        <v/>
      </c>
      <c r="L83" s="135" t="str">
        <f t="shared" ca="1" si="37"/>
        <v/>
      </c>
      <c r="M83" s="135" t="str">
        <f t="shared" ca="1" si="37"/>
        <v/>
      </c>
      <c r="N83" s="135" t="str">
        <f t="shared" ca="1" si="37"/>
        <v/>
      </c>
      <c r="O83" s="135" t="str">
        <f t="shared" ca="1" si="37"/>
        <v/>
      </c>
      <c r="P83" s="135" t="str">
        <f t="shared" ca="1" si="37"/>
        <v/>
      </c>
      <c r="Q83" s="135" t="str">
        <f t="shared" ca="1" si="37"/>
        <v/>
      </c>
      <c r="R83" s="135" t="str">
        <f t="shared" ca="1" si="37"/>
        <v/>
      </c>
      <c r="T83" s="388" t="str">
        <f>A83</f>
        <v>MB Total (B2B + B2C)</v>
      </c>
      <c r="U83" s="136">
        <f ca="1">SUM(C83:R83)</f>
        <v>1286.0607318238995</v>
      </c>
      <c r="V83" s="133">
        <f t="shared" ca="1" si="32"/>
        <v>-0.48877110346873931</v>
      </c>
    </row>
    <row r="84" spans="1:23">
      <c r="A84" s="376" t="s">
        <v>337</v>
      </c>
      <c r="B84" s="375"/>
      <c r="C84" s="137">
        <f t="shared" ref="C84" ca="1" si="38">IFERROR(C82/$U82,"")</f>
        <v>0.16666666666666666</v>
      </c>
      <c r="D84" s="137">
        <f t="shared" ref="D84:R84" ca="1" si="39">IFERROR(D82/$U82,"")</f>
        <v>0.16666666666666666</v>
      </c>
      <c r="E84" s="137">
        <f t="shared" ca="1" si="39"/>
        <v>0.16666666666666666</v>
      </c>
      <c r="F84" s="137">
        <f t="shared" ca="1" si="39"/>
        <v>0.16666666666666666</v>
      </c>
      <c r="G84" s="137">
        <f t="shared" ca="1" si="39"/>
        <v>0.16666666666666666</v>
      </c>
      <c r="H84" s="137">
        <f t="shared" ca="1" si="39"/>
        <v>0.16666666666666666</v>
      </c>
      <c r="I84" s="137">
        <f t="shared" ca="1" si="39"/>
        <v>0</v>
      </c>
      <c r="J84" s="137">
        <f t="shared" ca="1" si="39"/>
        <v>0</v>
      </c>
      <c r="K84" s="137" t="str">
        <f t="shared" ca="1" si="39"/>
        <v/>
      </c>
      <c r="L84" s="137" t="str">
        <f t="shared" ca="1" si="39"/>
        <v/>
      </c>
      <c r="M84" s="137" t="str">
        <f t="shared" ca="1" si="39"/>
        <v/>
      </c>
      <c r="N84" s="137" t="str">
        <f t="shared" ca="1" si="39"/>
        <v/>
      </c>
      <c r="O84" s="137" t="str">
        <f t="shared" ca="1" si="39"/>
        <v/>
      </c>
      <c r="P84" s="137" t="str">
        <f t="shared" ca="1" si="39"/>
        <v/>
      </c>
      <c r="Q84" s="137" t="str">
        <f t="shared" ca="1" si="39"/>
        <v/>
      </c>
      <c r="R84" s="137" t="str">
        <f t="shared" ca="1" si="39"/>
        <v/>
      </c>
      <c r="T84" s="375"/>
      <c r="U84" s="375"/>
      <c r="V84" s="375"/>
    </row>
    <row r="85" spans="1:23">
      <c r="A85" s="375"/>
      <c r="B85" s="375"/>
      <c r="C85" s="375"/>
      <c r="D85" s="375"/>
      <c r="E85" s="375"/>
      <c r="F85" s="375"/>
      <c r="G85" s="375"/>
      <c r="H85" s="375"/>
      <c r="I85" s="375"/>
      <c r="J85" s="375"/>
      <c r="K85" s="375"/>
      <c r="L85" s="375"/>
      <c r="M85" s="375"/>
      <c r="N85" s="375"/>
      <c r="O85" s="375"/>
      <c r="P85" s="375"/>
      <c r="Q85" s="375"/>
      <c r="R85" s="375"/>
      <c r="T85" s="375"/>
      <c r="U85" s="375"/>
      <c r="V85" s="375"/>
      <c r="W85" s="140"/>
    </row>
    <row r="86" spans="1:23">
      <c r="A86" s="833" t="str">
        <f>"Année +2 : "&amp;'1. DONNEES DE BASE'!$B$1+2</f>
        <v>Année +2 : 2028</v>
      </c>
      <c r="B86" s="833"/>
      <c r="C86" s="833"/>
      <c r="D86" s="833"/>
      <c r="E86" s="833"/>
      <c r="F86" s="833"/>
      <c r="G86" s="833"/>
      <c r="H86" s="833"/>
      <c r="I86" s="833" t="str">
        <f>"Année +2 : "&amp;'1. DONNEES DE BASE'!$B$1+2</f>
        <v>Année +2 : 2028</v>
      </c>
      <c r="J86" s="833"/>
      <c r="K86" s="833"/>
      <c r="L86" s="833"/>
      <c r="M86" s="833"/>
      <c r="N86" s="833"/>
      <c r="O86" s="833"/>
      <c r="P86" s="833"/>
      <c r="Q86" s="833"/>
      <c r="R86" s="833"/>
      <c r="T86" s="121" t="s">
        <v>191</v>
      </c>
      <c r="U86" s="122"/>
      <c r="V86" s="826" t="s">
        <v>436</v>
      </c>
    </row>
    <row r="87" spans="1:23">
      <c r="A87" s="376" t="s">
        <v>333</v>
      </c>
      <c r="B87" s="380"/>
      <c r="C87" s="381">
        <v>200</v>
      </c>
      <c r="D87" s="381">
        <v>201</v>
      </c>
      <c r="E87" s="381">
        <v>202</v>
      </c>
      <c r="F87" s="381">
        <v>203</v>
      </c>
      <c r="G87" s="381">
        <v>204</v>
      </c>
      <c r="H87" s="381">
        <v>205</v>
      </c>
      <c r="I87" s="381">
        <v>0</v>
      </c>
      <c r="J87" s="381">
        <v>0</v>
      </c>
      <c r="K87" s="381">
        <v>0</v>
      </c>
      <c r="L87" s="381">
        <v>0</v>
      </c>
      <c r="M87" s="381">
        <v>0</v>
      </c>
      <c r="N87" s="381">
        <v>0</v>
      </c>
      <c r="O87" s="381">
        <v>0</v>
      </c>
      <c r="P87" s="381">
        <v>0</v>
      </c>
      <c r="Q87" s="381">
        <v>0</v>
      </c>
      <c r="R87" s="381">
        <v>0</v>
      </c>
      <c r="T87" s="123"/>
      <c r="U87" s="124"/>
      <c r="V87" s="827"/>
    </row>
    <row r="88" spans="1:23">
      <c r="A88" s="376" t="s">
        <v>186</v>
      </c>
      <c r="B88" s="380"/>
      <c r="C88" s="141">
        <f t="shared" ref="C88:R88" si="40">C80</f>
        <v>80</v>
      </c>
      <c r="D88" s="141">
        <f t="shared" si="40"/>
        <v>81</v>
      </c>
      <c r="E88" s="141">
        <f t="shared" si="40"/>
        <v>82</v>
      </c>
      <c r="F88" s="141">
        <f t="shared" si="40"/>
        <v>83</v>
      </c>
      <c r="G88" s="141">
        <f t="shared" si="40"/>
        <v>84</v>
      </c>
      <c r="H88" s="141">
        <f t="shared" si="40"/>
        <v>85</v>
      </c>
      <c r="I88" s="141">
        <f t="shared" si="40"/>
        <v>0</v>
      </c>
      <c r="J88" s="141">
        <f t="shared" si="40"/>
        <v>0</v>
      </c>
      <c r="K88" s="141">
        <f t="shared" si="40"/>
        <v>0</v>
      </c>
      <c r="L88" s="141">
        <f t="shared" si="40"/>
        <v>0</v>
      </c>
      <c r="M88" s="141">
        <f t="shared" si="40"/>
        <v>0</v>
      </c>
      <c r="N88" s="141">
        <f t="shared" si="40"/>
        <v>0</v>
      </c>
      <c r="O88" s="141">
        <f t="shared" si="40"/>
        <v>0</v>
      </c>
      <c r="P88" s="141">
        <f t="shared" si="40"/>
        <v>0</v>
      </c>
      <c r="Q88" s="141">
        <f t="shared" si="40"/>
        <v>0</v>
      </c>
      <c r="R88" s="141">
        <f t="shared" si="40"/>
        <v>0</v>
      </c>
      <c r="T88" s="386" t="s">
        <v>341</v>
      </c>
      <c r="U88" s="125">
        <f ca="1">(U95-U96)/U95</f>
        <v>0.27683473606778836</v>
      </c>
      <c r="V88" s="133">
        <f t="shared" ref="V88:V94" ca="1" si="41">U88/U75-1</f>
        <v>0</v>
      </c>
    </row>
    <row r="89" spans="1:23">
      <c r="A89" s="376" t="s">
        <v>334</v>
      </c>
      <c r="B89" s="387"/>
      <c r="C89" s="381">
        <v>50</v>
      </c>
      <c r="D89" s="381">
        <v>50</v>
      </c>
      <c r="E89" s="381">
        <v>50</v>
      </c>
      <c r="F89" s="381">
        <v>50</v>
      </c>
      <c r="G89" s="381">
        <v>50</v>
      </c>
      <c r="H89" s="381">
        <v>50</v>
      </c>
      <c r="I89" s="381">
        <v>0</v>
      </c>
      <c r="J89" s="381">
        <v>0</v>
      </c>
      <c r="K89" s="381">
        <v>0</v>
      </c>
      <c r="L89" s="381">
        <v>0</v>
      </c>
      <c r="M89" s="381">
        <v>0</v>
      </c>
      <c r="N89" s="381">
        <v>0</v>
      </c>
      <c r="O89" s="381">
        <v>0</v>
      </c>
      <c r="P89" s="381">
        <v>0</v>
      </c>
      <c r="Q89" s="381">
        <v>0</v>
      </c>
      <c r="R89" s="381">
        <v>0</v>
      </c>
      <c r="T89" s="388" t="s">
        <v>435</v>
      </c>
      <c r="U89" s="126">
        <f>(U91)/(U91+U90)</f>
        <v>0.2857142857142857</v>
      </c>
      <c r="V89" s="133">
        <f t="shared" si="41"/>
        <v>0</v>
      </c>
    </row>
    <row r="90" spans="1:23">
      <c r="A90" s="376" t="s">
        <v>188</v>
      </c>
      <c r="B90" s="380"/>
      <c r="C90" s="381">
        <v>50</v>
      </c>
      <c r="D90" s="381">
        <v>50</v>
      </c>
      <c r="E90" s="381">
        <v>50</v>
      </c>
      <c r="F90" s="381">
        <v>50</v>
      </c>
      <c r="G90" s="381">
        <v>50</v>
      </c>
      <c r="H90" s="381">
        <v>50</v>
      </c>
      <c r="I90" s="381">
        <v>0</v>
      </c>
      <c r="J90" s="381">
        <v>0</v>
      </c>
      <c r="K90" s="381">
        <v>0</v>
      </c>
      <c r="L90" s="381">
        <v>0</v>
      </c>
      <c r="M90" s="381">
        <v>0</v>
      </c>
      <c r="N90" s="381">
        <v>0</v>
      </c>
      <c r="O90" s="381">
        <v>0</v>
      </c>
      <c r="P90" s="381">
        <v>0</v>
      </c>
      <c r="Q90" s="381">
        <v>0</v>
      </c>
      <c r="R90" s="381">
        <v>0</v>
      </c>
      <c r="T90" s="388" t="str">
        <f>A90</f>
        <v>Unités vendues B2B</v>
      </c>
      <c r="U90" s="127">
        <f>SUM(C90:R90)</f>
        <v>300</v>
      </c>
      <c r="V90" s="133">
        <f t="shared" si="41"/>
        <v>0</v>
      </c>
    </row>
    <row r="91" spans="1:23">
      <c r="A91" s="376" t="s">
        <v>190</v>
      </c>
      <c r="B91" s="380"/>
      <c r="C91" s="381">
        <v>20</v>
      </c>
      <c r="D91" s="381">
        <v>20</v>
      </c>
      <c r="E91" s="381">
        <v>20</v>
      </c>
      <c r="F91" s="381">
        <v>20</v>
      </c>
      <c r="G91" s="381">
        <v>20</v>
      </c>
      <c r="H91" s="381">
        <v>20</v>
      </c>
      <c r="I91" s="381">
        <v>0</v>
      </c>
      <c r="J91" s="381">
        <v>0</v>
      </c>
      <c r="K91" s="381">
        <v>0</v>
      </c>
      <c r="L91" s="381">
        <v>0</v>
      </c>
      <c r="M91" s="381">
        <v>0</v>
      </c>
      <c r="N91" s="381">
        <v>0</v>
      </c>
      <c r="O91" s="381">
        <v>0</v>
      </c>
      <c r="P91" s="381">
        <v>0</v>
      </c>
      <c r="Q91" s="381">
        <v>0</v>
      </c>
      <c r="R91" s="381">
        <v>0</v>
      </c>
      <c r="T91" s="388" t="str">
        <f>A91</f>
        <v>Unités vendues B2C</v>
      </c>
      <c r="U91" s="127">
        <f>SUM(C91:R91)</f>
        <v>120</v>
      </c>
      <c r="V91" s="133">
        <f t="shared" si="41"/>
        <v>0</v>
      </c>
    </row>
    <row r="92" spans="1:23">
      <c r="A92" s="376" t="s">
        <v>336</v>
      </c>
      <c r="B92" s="387"/>
      <c r="C92" s="128">
        <f>IFERROR(C90/(C90+C91),"")</f>
        <v>0.7142857142857143</v>
      </c>
      <c r="D92" s="128">
        <f t="shared" ref="D92:R92" si="42">IFERROR(D90/(D90+D91),"")</f>
        <v>0.7142857142857143</v>
      </c>
      <c r="E92" s="128">
        <f t="shared" si="42"/>
        <v>0.7142857142857143</v>
      </c>
      <c r="F92" s="128">
        <f t="shared" si="42"/>
        <v>0.7142857142857143</v>
      </c>
      <c r="G92" s="128">
        <f t="shared" si="42"/>
        <v>0.7142857142857143</v>
      </c>
      <c r="H92" s="128">
        <f t="shared" si="42"/>
        <v>0.7142857142857143</v>
      </c>
      <c r="I92" s="128" t="str">
        <f t="shared" si="42"/>
        <v/>
      </c>
      <c r="J92" s="128" t="str">
        <f t="shared" si="42"/>
        <v/>
      </c>
      <c r="K92" s="128" t="str">
        <f t="shared" si="42"/>
        <v/>
      </c>
      <c r="L92" s="128" t="str">
        <f t="shared" si="42"/>
        <v/>
      </c>
      <c r="M92" s="128" t="str">
        <f t="shared" si="42"/>
        <v/>
      </c>
      <c r="N92" s="128" t="str">
        <f t="shared" si="42"/>
        <v/>
      </c>
      <c r="O92" s="128" t="str">
        <f t="shared" si="42"/>
        <v/>
      </c>
      <c r="P92" s="128" t="str">
        <f t="shared" si="42"/>
        <v/>
      </c>
      <c r="Q92" s="128" t="str">
        <f t="shared" si="42"/>
        <v/>
      </c>
      <c r="R92" s="128" t="str">
        <f t="shared" si="42"/>
        <v/>
      </c>
      <c r="T92" s="388" t="s">
        <v>434</v>
      </c>
      <c r="U92" s="130">
        <f ca="1">SUMPRODUCT(C91:R91,C$7:R$7)/U95</f>
        <v>0.31510599019670255</v>
      </c>
      <c r="V92" s="133">
        <f t="shared" ca="1" si="41"/>
        <v>0</v>
      </c>
    </row>
    <row r="93" spans="1:23">
      <c r="A93" s="376" t="s">
        <v>516</v>
      </c>
      <c r="B93" s="389"/>
      <c r="C93" s="131">
        <f>IFERROR(C87-C90-C91-C89,"")</f>
        <v>80</v>
      </c>
      <c r="D93" s="131">
        <f t="shared" ref="D93:R93" si="43">IFERROR(D87-D90-D91-D89,"")</f>
        <v>81</v>
      </c>
      <c r="E93" s="131">
        <f t="shared" si="43"/>
        <v>82</v>
      </c>
      <c r="F93" s="131">
        <f t="shared" si="43"/>
        <v>83</v>
      </c>
      <c r="G93" s="131">
        <f t="shared" si="43"/>
        <v>84</v>
      </c>
      <c r="H93" s="131">
        <f t="shared" si="43"/>
        <v>85</v>
      </c>
      <c r="I93" s="131">
        <f t="shared" si="43"/>
        <v>0</v>
      </c>
      <c r="J93" s="131">
        <f t="shared" si="43"/>
        <v>0</v>
      </c>
      <c r="K93" s="131">
        <f t="shared" si="43"/>
        <v>0</v>
      </c>
      <c r="L93" s="131">
        <f t="shared" si="43"/>
        <v>0</v>
      </c>
      <c r="M93" s="131">
        <f t="shared" si="43"/>
        <v>0</v>
      </c>
      <c r="N93" s="131">
        <f t="shared" si="43"/>
        <v>0</v>
      </c>
      <c r="O93" s="131">
        <f t="shared" si="43"/>
        <v>0</v>
      </c>
      <c r="P93" s="131">
        <f t="shared" si="43"/>
        <v>0</v>
      </c>
      <c r="Q93" s="131">
        <f t="shared" si="43"/>
        <v>0</v>
      </c>
      <c r="R93" s="131">
        <f t="shared" si="43"/>
        <v>0</v>
      </c>
      <c r="S93" s="129"/>
      <c r="T93" s="388" t="s">
        <v>517</v>
      </c>
      <c r="U93" s="132">
        <f ca="1">SUMPRODUCT(C93:R93,C$11:R$11)</f>
        <v>580.23030999999992</v>
      </c>
      <c r="V93" s="133">
        <f t="shared" ca="1" si="41"/>
        <v>0</v>
      </c>
    </row>
    <row r="94" spans="1:23">
      <c r="A94" s="376" t="s">
        <v>540</v>
      </c>
      <c r="B94" s="375"/>
      <c r="C94" s="138">
        <f ca="1">IFERROR(C$19*(C90+C91),"")</f>
        <v>54.444444444444443</v>
      </c>
      <c r="D94" s="138">
        <f t="shared" ref="D94:R94" ca="1" si="44">IFERROR(D$19*(D90+D91),"")</f>
        <v>54.444444444444443</v>
      </c>
      <c r="E94" s="138">
        <f t="shared" ca="1" si="44"/>
        <v>54.444444444444443</v>
      </c>
      <c r="F94" s="138">
        <f t="shared" ca="1" si="44"/>
        <v>54.444444444444443</v>
      </c>
      <c r="G94" s="138">
        <f t="shared" ca="1" si="44"/>
        <v>54.444444444444443</v>
      </c>
      <c r="H94" s="138">
        <f t="shared" ca="1" si="44"/>
        <v>54.444444444444443</v>
      </c>
      <c r="I94" s="134">
        <f t="shared" ca="1" si="44"/>
        <v>0</v>
      </c>
      <c r="J94" s="134">
        <f t="shared" ca="1" si="44"/>
        <v>0</v>
      </c>
      <c r="K94" s="134" t="str">
        <f t="shared" ca="1" si="44"/>
        <v/>
      </c>
      <c r="L94" s="134" t="str">
        <f t="shared" ca="1" si="44"/>
        <v/>
      </c>
      <c r="M94" s="134" t="str">
        <f t="shared" ca="1" si="44"/>
        <v/>
      </c>
      <c r="N94" s="134" t="str">
        <f t="shared" ca="1" si="44"/>
        <v/>
      </c>
      <c r="O94" s="134" t="str">
        <f t="shared" ca="1" si="44"/>
        <v/>
      </c>
      <c r="P94" s="134" t="str">
        <f t="shared" ca="1" si="44"/>
        <v/>
      </c>
      <c r="Q94" s="134" t="str">
        <f t="shared" ca="1" si="44"/>
        <v/>
      </c>
      <c r="R94" s="134" t="str">
        <f t="shared" ca="1" si="44"/>
        <v/>
      </c>
      <c r="S94" s="129"/>
      <c r="T94" s="388" t="s">
        <v>541</v>
      </c>
      <c r="U94" s="132">
        <f ca="1">SUM(C94:R94)</f>
        <v>326.66666666666669</v>
      </c>
      <c r="V94" s="133">
        <f t="shared" ca="1" si="41"/>
        <v>0</v>
      </c>
    </row>
    <row r="95" spans="1:23">
      <c r="A95" s="376" t="s">
        <v>189</v>
      </c>
      <c r="B95" s="389"/>
      <c r="C95" s="139">
        <f t="shared" ref="C95:R95" ca="1" si="45">IFERROR((C90*C$6)+(C$7*C91),"")</f>
        <v>296.3962264150943</v>
      </c>
      <c r="D95" s="139">
        <f t="shared" ca="1" si="45"/>
        <v>296.3962264150943</v>
      </c>
      <c r="E95" s="139">
        <f t="shared" ca="1" si="45"/>
        <v>296.3962264150943</v>
      </c>
      <c r="F95" s="139">
        <f t="shared" ca="1" si="45"/>
        <v>296.3962264150943</v>
      </c>
      <c r="G95" s="139">
        <f t="shared" ca="1" si="45"/>
        <v>296.3962264150943</v>
      </c>
      <c r="H95" s="139">
        <f t="shared" ca="1" si="45"/>
        <v>296.3962264150943</v>
      </c>
      <c r="I95" s="139">
        <f t="shared" ca="1" si="45"/>
        <v>0</v>
      </c>
      <c r="J95" s="139">
        <f t="shared" ca="1" si="45"/>
        <v>0</v>
      </c>
      <c r="K95" s="139" t="str">
        <f t="shared" ca="1" si="45"/>
        <v/>
      </c>
      <c r="L95" s="139" t="str">
        <f t="shared" ca="1" si="45"/>
        <v/>
      </c>
      <c r="M95" s="139" t="str">
        <f t="shared" ca="1" si="45"/>
        <v/>
      </c>
      <c r="N95" s="139" t="str">
        <f t="shared" ca="1" si="45"/>
        <v/>
      </c>
      <c r="O95" s="139" t="str">
        <f t="shared" ca="1" si="45"/>
        <v/>
      </c>
      <c r="P95" s="139" t="str">
        <f t="shared" ca="1" si="45"/>
        <v/>
      </c>
      <c r="Q95" s="139" t="str">
        <f t="shared" ca="1" si="45"/>
        <v/>
      </c>
      <c r="R95" s="139" t="str">
        <f t="shared" ca="1" si="45"/>
        <v/>
      </c>
      <c r="T95" s="388" t="str">
        <f>A95</f>
        <v>C.A total (B2B+B2C)</v>
      </c>
      <c r="U95" s="136">
        <f ca="1">SUM(C95:R95)</f>
        <v>1778.3773584905659</v>
      </c>
      <c r="V95" s="133">
        <f ca="1">U95/U80-1</f>
        <v>2.0649508097751155</v>
      </c>
    </row>
    <row r="96" spans="1:23">
      <c r="A96" s="376" t="s">
        <v>335</v>
      </c>
      <c r="B96" s="375"/>
      <c r="C96" s="135">
        <f t="shared" ref="C96:R96" ca="1" si="46">IFERROR((C90*C$12)+(C$13*C91),"")</f>
        <v>214.34345530398323</v>
      </c>
      <c r="D96" s="135">
        <f t="shared" ca="1" si="46"/>
        <v>214.34345530398323</v>
      </c>
      <c r="E96" s="135">
        <f t="shared" ca="1" si="46"/>
        <v>214.34345530398323</v>
      </c>
      <c r="F96" s="135">
        <f t="shared" ca="1" si="46"/>
        <v>214.34345530398323</v>
      </c>
      <c r="G96" s="135">
        <f t="shared" ca="1" si="46"/>
        <v>214.34345530398323</v>
      </c>
      <c r="H96" s="135">
        <f t="shared" ca="1" si="46"/>
        <v>214.34345530398323</v>
      </c>
      <c r="I96" s="135">
        <f t="shared" ca="1" si="46"/>
        <v>0</v>
      </c>
      <c r="J96" s="135">
        <f t="shared" ca="1" si="46"/>
        <v>0</v>
      </c>
      <c r="K96" s="135" t="str">
        <f t="shared" ca="1" si="46"/>
        <v/>
      </c>
      <c r="L96" s="135" t="str">
        <f t="shared" ca="1" si="46"/>
        <v/>
      </c>
      <c r="M96" s="135" t="str">
        <f t="shared" ca="1" si="46"/>
        <v/>
      </c>
      <c r="N96" s="135" t="str">
        <f t="shared" ca="1" si="46"/>
        <v/>
      </c>
      <c r="O96" s="135" t="str">
        <f t="shared" ca="1" si="46"/>
        <v/>
      </c>
      <c r="P96" s="135" t="str">
        <f t="shared" ca="1" si="46"/>
        <v/>
      </c>
      <c r="Q96" s="135" t="str">
        <f t="shared" ca="1" si="46"/>
        <v/>
      </c>
      <c r="R96" s="135" t="str">
        <f t="shared" ca="1" si="46"/>
        <v/>
      </c>
      <c r="T96" s="388" t="str">
        <f>A96</f>
        <v>MB Total (B2B + B2C)</v>
      </c>
      <c r="U96" s="136">
        <f ca="1">SUM(C96:R96)</f>
        <v>1286.0607318238995</v>
      </c>
      <c r="V96" s="133">
        <f ca="1">U96/U82-1</f>
        <v>-0.27683473606778841</v>
      </c>
    </row>
    <row r="97" spans="1:22">
      <c r="A97" s="376" t="s">
        <v>337</v>
      </c>
      <c r="B97" s="375"/>
      <c r="C97" s="137">
        <f t="shared" ref="C97:R97" ca="1" si="47">IFERROR(C95/$U95,"")</f>
        <v>0.16666666666666666</v>
      </c>
      <c r="D97" s="137">
        <f t="shared" ca="1" si="47"/>
        <v>0.16666666666666666</v>
      </c>
      <c r="E97" s="137">
        <f t="shared" ca="1" si="47"/>
        <v>0.16666666666666666</v>
      </c>
      <c r="F97" s="137">
        <f t="shared" ca="1" si="47"/>
        <v>0.16666666666666666</v>
      </c>
      <c r="G97" s="137">
        <f t="shared" ca="1" si="47"/>
        <v>0.16666666666666666</v>
      </c>
      <c r="H97" s="137">
        <f t="shared" ca="1" si="47"/>
        <v>0.16666666666666666</v>
      </c>
      <c r="I97" s="137">
        <f t="shared" ca="1" si="47"/>
        <v>0</v>
      </c>
      <c r="J97" s="137">
        <f t="shared" ca="1" si="47"/>
        <v>0</v>
      </c>
      <c r="K97" s="137" t="str">
        <f t="shared" ca="1" si="47"/>
        <v/>
      </c>
      <c r="L97" s="137" t="str">
        <f t="shared" ca="1" si="47"/>
        <v/>
      </c>
      <c r="M97" s="137" t="str">
        <f t="shared" ca="1" si="47"/>
        <v/>
      </c>
      <c r="N97" s="137" t="str">
        <f t="shared" ca="1" si="47"/>
        <v/>
      </c>
      <c r="O97" s="137" t="str">
        <f t="shared" ca="1" si="47"/>
        <v/>
      </c>
      <c r="P97" s="137" t="str">
        <f t="shared" ca="1" si="47"/>
        <v/>
      </c>
      <c r="Q97" s="137" t="str">
        <f t="shared" ca="1" si="47"/>
        <v/>
      </c>
      <c r="R97" s="137" t="str">
        <f t="shared" ca="1" si="47"/>
        <v/>
      </c>
      <c r="T97" s="377"/>
      <c r="U97" s="377"/>
      <c r="V97" s="375"/>
    </row>
    <row r="98" spans="1:22">
      <c r="S98" s="108"/>
      <c r="T98" s="108"/>
      <c r="U98" s="119"/>
    </row>
    <row r="99" spans="1:22">
      <c r="S99" s="108"/>
      <c r="T99" s="108"/>
      <c r="U99" s="119"/>
    </row>
    <row r="100" spans="1:22">
      <c r="S100" s="108"/>
      <c r="T100" s="108"/>
      <c r="U100" s="119"/>
    </row>
    <row r="101" spans="1:22">
      <c r="S101" s="108"/>
      <c r="T101" s="108"/>
    </row>
    <row r="102" spans="1:22">
      <c r="S102" s="108"/>
      <c r="T102" s="108"/>
    </row>
    <row r="103" spans="1:22">
      <c r="S103" s="108"/>
      <c r="T103" s="108"/>
    </row>
    <row r="104" spans="1:22">
      <c r="S104" s="108"/>
      <c r="T104" s="108"/>
    </row>
    <row r="105" spans="1:22">
      <c r="S105" s="108"/>
      <c r="T105" s="108"/>
    </row>
    <row r="106" spans="1:22">
      <c r="S106" s="108"/>
      <c r="T106" s="108"/>
    </row>
    <row r="107" spans="1:22">
      <c r="S107" s="108"/>
      <c r="T107" s="108"/>
    </row>
    <row r="108" spans="1:22">
      <c r="S108" s="108"/>
      <c r="T108" s="108"/>
    </row>
    <row r="109" spans="1:22">
      <c r="S109" s="108"/>
      <c r="T109" s="108"/>
    </row>
    <row r="110" spans="1:22">
      <c r="S110" s="108"/>
      <c r="T110" s="108"/>
    </row>
    <row r="111" spans="1:22">
      <c r="S111" s="108"/>
      <c r="T111" s="108"/>
    </row>
    <row r="112" spans="1:22">
      <c r="S112" s="108"/>
      <c r="T112" s="108"/>
    </row>
    <row r="113" s="108" customFormat="1"/>
    <row r="114" s="108" customFormat="1"/>
    <row r="115" s="108" customFormat="1"/>
    <row r="116" s="108" customFormat="1"/>
    <row r="117" s="108" customFormat="1"/>
    <row r="118" s="108" customFormat="1"/>
    <row r="119" s="108" customFormat="1"/>
    <row r="120" s="108" customFormat="1"/>
    <row r="121" s="108" customFormat="1"/>
    <row r="122" s="108" customFormat="1"/>
    <row r="123" s="108" customFormat="1"/>
    <row r="124" s="108" customFormat="1"/>
    <row r="125" s="108" customFormat="1"/>
    <row r="126" s="108" customFormat="1"/>
    <row r="127" s="108" customFormat="1"/>
    <row r="128" s="108" customFormat="1"/>
    <row r="129" s="108" customFormat="1"/>
    <row r="130" s="108" customFormat="1"/>
    <row r="131" s="108" customFormat="1"/>
    <row r="132" s="108" customFormat="1"/>
    <row r="133" s="108" customFormat="1"/>
    <row r="134" s="108" customFormat="1"/>
    <row r="135" s="108" customFormat="1"/>
    <row r="136" s="108" customFormat="1"/>
    <row r="137" s="108" customFormat="1"/>
    <row r="138" s="108" customFormat="1"/>
    <row r="139" s="108" customFormat="1"/>
    <row r="140" s="108" customFormat="1"/>
    <row r="141" s="108" customFormat="1"/>
    <row r="142" s="108" customFormat="1"/>
    <row r="143" s="108" customFormat="1"/>
    <row r="144" s="108" customFormat="1"/>
    <row r="145" s="108" customFormat="1"/>
    <row r="146" s="108" customFormat="1"/>
    <row r="147" s="108" customFormat="1"/>
    <row r="148" s="108" customFormat="1"/>
    <row r="149" s="108" customFormat="1"/>
    <row r="150" s="108" customFormat="1"/>
    <row r="151" s="108" customFormat="1"/>
    <row r="152" s="108" customFormat="1"/>
    <row r="153" s="108" customFormat="1"/>
    <row r="154" s="108" customFormat="1"/>
    <row r="155" s="108" customFormat="1"/>
    <row r="156" s="108" customFormat="1"/>
    <row r="157" s="108" customFormat="1"/>
    <row r="158" s="108" customFormat="1"/>
    <row r="159" s="108" customFormat="1"/>
    <row r="160" s="108" customFormat="1"/>
    <row r="161" s="108" customFormat="1"/>
    <row r="162" s="108" customFormat="1"/>
    <row r="163" s="108" customFormat="1"/>
    <row r="164" s="108" customFormat="1"/>
    <row r="165" s="108" customFormat="1"/>
    <row r="166" s="108" customFormat="1"/>
    <row r="167" s="108" customFormat="1"/>
    <row r="168" s="108" customFormat="1"/>
    <row r="169" s="108" customFormat="1"/>
    <row r="170" s="108" customFormat="1"/>
    <row r="171" s="108" customFormat="1"/>
    <row r="172" s="108" customFormat="1"/>
    <row r="173" s="108" customFormat="1"/>
    <row r="174" s="108" customFormat="1"/>
    <row r="175" s="108" customFormat="1"/>
    <row r="176" s="108" customFormat="1"/>
    <row r="177" s="108" customFormat="1"/>
    <row r="178" s="108" customFormat="1"/>
    <row r="179" s="108" customFormat="1"/>
    <row r="180" s="108" customFormat="1"/>
    <row r="181" s="108" customFormat="1"/>
    <row r="182" s="108" customFormat="1"/>
    <row r="183" s="108" customFormat="1"/>
    <row r="184" s="108" customFormat="1"/>
    <row r="185" s="108" customFormat="1"/>
    <row r="186" s="108" customFormat="1"/>
    <row r="187" s="108" customFormat="1"/>
    <row r="188" s="108" customFormat="1"/>
    <row r="189" s="108" customFormat="1"/>
    <row r="190" s="108" customFormat="1"/>
    <row r="191" s="108" customFormat="1"/>
    <row r="192" s="108" customFormat="1"/>
    <row r="193" s="108" customFormat="1"/>
    <row r="194" s="108" customFormat="1"/>
    <row r="195" s="108" customFormat="1"/>
    <row r="196" s="108" customFormat="1"/>
    <row r="197" s="108" customFormat="1"/>
    <row r="198" s="108" customFormat="1"/>
    <row r="199" s="108" customFormat="1"/>
    <row r="200" s="108" customFormat="1"/>
    <row r="201" s="108" customFormat="1"/>
    <row r="202" s="108" customFormat="1"/>
    <row r="203" s="108" customFormat="1"/>
    <row r="204" s="108" customFormat="1"/>
    <row r="205" s="108" customFormat="1"/>
    <row r="206" s="108" customFormat="1"/>
    <row r="207" s="108" customFormat="1"/>
    <row r="208" s="108" customFormat="1"/>
    <row r="209" s="108" customFormat="1"/>
    <row r="210" s="108" customFormat="1"/>
    <row r="211" s="108" customFormat="1"/>
    <row r="212" s="108" customFormat="1"/>
    <row r="213" s="108" customFormat="1"/>
    <row r="214" s="108" customFormat="1"/>
    <row r="215" s="108" customFormat="1"/>
    <row r="216" s="108" customFormat="1"/>
    <row r="217" s="108" customFormat="1"/>
    <row r="218" s="108" customFormat="1"/>
    <row r="219" s="108" customFormat="1"/>
    <row r="220" s="108" customFormat="1"/>
    <row r="221" s="108" customFormat="1"/>
    <row r="222" s="108" customFormat="1"/>
    <row r="223" s="108" customFormat="1"/>
    <row r="224" s="108" customFormat="1"/>
    <row r="225" s="108" customFormat="1"/>
    <row r="226" s="108" customFormat="1"/>
    <row r="227" s="108" customFormat="1"/>
    <row r="228" s="108" customFormat="1"/>
    <row r="229" s="108" customFormat="1"/>
    <row r="230" s="108" customFormat="1"/>
    <row r="231" s="108" customFormat="1"/>
    <row r="232" s="108" customFormat="1"/>
    <row r="233" s="108" customFormat="1"/>
    <row r="234" s="108" customFormat="1"/>
    <row r="235" s="108" customFormat="1"/>
    <row r="236" s="108" customFormat="1"/>
    <row r="237" s="108" customFormat="1"/>
    <row r="238" s="108" customFormat="1"/>
    <row r="239" s="108" customFormat="1"/>
    <row r="240" s="108" customFormat="1"/>
    <row r="241" s="108" customFormat="1"/>
    <row r="242" s="108" customFormat="1"/>
    <row r="243" s="108" customFormat="1"/>
    <row r="244" s="108" customFormat="1"/>
    <row r="245" s="108" customFormat="1"/>
    <row r="246" s="108" customFormat="1"/>
    <row r="247" s="108" customFormat="1"/>
    <row r="248" s="108" customFormat="1"/>
    <row r="249" s="108" customFormat="1"/>
    <row r="250" s="108" customFormat="1"/>
    <row r="251" s="108" customFormat="1"/>
    <row r="252" s="108" customFormat="1"/>
    <row r="253" s="108" customFormat="1"/>
    <row r="254" s="108" customFormat="1"/>
    <row r="255" s="108" customFormat="1"/>
    <row r="256" s="108" customFormat="1"/>
    <row r="257" s="108" customFormat="1"/>
    <row r="258" s="108" customFormat="1"/>
    <row r="259" s="108" customFormat="1"/>
    <row r="260" s="108" customFormat="1"/>
    <row r="261" s="108" customFormat="1"/>
    <row r="262" s="108" customFormat="1"/>
    <row r="263" s="108" customFormat="1"/>
    <row r="264" s="108" customFormat="1"/>
    <row r="265" s="108" customFormat="1"/>
    <row r="266" s="108" customFormat="1"/>
    <row r="267" s="108" customFormat="1"/>
    <row r="268" s="108" customFormat="1"/>
    <row r="269" s="108" customFormat="1"/>
    <row r="270" s="108" customFormat="1"/>
    <row r="271" s="108" customFormat="1"/>
    <row r="272" s="108" customFormat="1"/>
    <row r="273" s="108" customFormat="1"/>
    <row r="274" s="108" customFormat="1"/>
    <row r="275" s="108" customFormat="1"/>
    <row r="276" s="108" customFormat="1"/>
    <row r="277" s="108" customFormat="1"/>
    <row r="278" s="108" customFormat="1"/>
    <row r="279" s="108" customFormat="1"/>
    <row r="280" s="108" customFormat="1"/>
    <row r="281" s="108" customFormat="1"/>
    <row r="282" s="108" customFormat="1"/>
    <row r="283" s="108" customFormat="1"/>
    <row r="284" s="108" customFormat="1"/>
    <row r="285" s="108" customFormat="1"/>
    <row r="286" s="108" customFormat="1"/>
    <row r="287" s="108" customFormat="1"/>
    <row r="288" s="108" customFormat="1"/>
    <row r="289" s="108" customFormat="1"/>
    <row r="290" s="108" customFormat="1"/>
    <row r="291" s="108" customFormat="1"/>
    <row r="292" s="108" customFormat="1"/>
    <row r="293" s="108" customFormat="1"/>
    <row r="294" s="108" customFormat="1"/>
    <row r="295" s="108" customFormat="1"/>
    <row r="296" s="108" customFormat="1"/>
    <row r="297" s="108" customFormat="1"/>
    <row r="298" s="108" customFormat="1"/>
    <row r="299" s="108" customFormat="1"/>
    <row r="300" s="108" customFormat="1"/>
    <row r="301" s="108" customFormat="1"/>
    <row r="302" s="108" customFormat="1"/>
    <row r="303" s="108" customFormat="1"/>
    <row r="304" s="108" customFormat="1"/>
    <row r="305" s="108" customFormat="1"/>
    <row r="306" s="108" customFormat="1"/>
    <row r="307" s="108" customFormat="1"/>
    <row r="308" s="108" customFormat="1"/>
    <row r="309" s="108" customFormat="1"/>
    <row r="310" s="108" customFormat="1"/>
    <row r="311" s="108" customFormat="1"/>
    <row r="312" s="108" customFormat="1"/>
    <row r="313" s="108" customFormat="1"/>
    <row r="314" s="108" customFormat="1"/>
    <row r="315" s="108" customFormat="1"/>
    <row r="316" s="108" customFormat="1"/>
    <row r="317" s="108" customFormat="1"/>
    <row r="318" s="108" customFormat="1"/>
    <row r="319" s="108" customFormat="1"/>
    <row r="320" s="108" customFormat="1"/>
    <row r="321" s="108" customFormat="1"/>
    <row r="322" s="108" customFormat="1"/>
    <row r="323" s="108" customFormat="1"/>
    <row r="324" s="108" customFormat="1"/>
    <row r="325" s="108" customFormat="1"/>
    <row r="326" s="108" customFormat="1"/>
    <row r="327" s="108" customFormat="1"/>
    <row r="328" s="108" customFormat="1"/>
    <row r="329" s="108" customFormat="1"/>
    <row r="330" s="108" customFormat="1"/>
    <row r="331" s="108" customFormat="1"/>
    <row r="332" s="108" customFormat="1"/>
    <row r="333" s="108" customFormat="1"/>
    <row r="334" s="108" customFormat="1"/>
    <row r="335" s="108" customFormat="1"/>
    <row r="336" s="108" customFormat="1"/>
    <row r="337" s="108" customFormat="1"/>
    <row r="338" s="108" customFormat="1"/>
    <row r="339" s="108" customFormat="1"/>
    <row r="340" s="108" customFormat="1"/>
    <row r="341" s="108" customFormat="1"/>
    <row r="342" s="108" customFormat="1"/>
    <row r="343" s="108" customFormat="1"/>
    <row r="344" s="108" customFormat="1"/>
    <row r="345" s="108" customFormat="1"/>
    <row r="346" s="108" customFormat="1"/>
    <row r="347" s="108" customFormat="1"/>
    <row r="348" s="108" customFormat="1"/>
    <row r="349" s="108" customFormat="1"/>
    <row r="350" s="108" customFormat="1"/>
    <row r="351" s="108" customFormat="1"/>
    <row r="352" s="108" customFormat="1"/>
    <row r="353" s="108" customFormat="1"/>
    <row r="354" s="108" customFormat="1"/>
    <row r="355" s="108" customFormat="1"/>
    <row r="356" s="108" customFormat="1"/>
    <row r="357" s="108" customFormat="1"/>
    <row r="358" s="108" customFormat="1"/>
    <row r="359" s="108" customFormat="1"/>
    <row r="360" s="108" customFormat="1"/>
    <row r="361" s="108" customFormat="1"/>
    <row r="362" s="108" customFormat="1"/>
    <row r="363" s="108" customFormat="1"/>
    <row r="364" s="108" customFormat="1"/>
    <row r="365" s="108" customFormat="1"/>
    <row r="366" s="108" customFormat="1"/>
    <row r="367" s="108" customFormat="1"/>
    <row r="368" s="108" customFormat="1"/>
    <row r="369" s="108" customFormat="1"/>
    <row r="370" s="108" customFormat="1"/>
    <row r="371" s="108" customFormat="1"/>
    <row r="372" s="108" customFormat="1"/>
    <row r="373" s="108" customFormat="1"/>
    <row r="374" s="108" customFormat="1"/>
    <row r="375" s="108" customFormat="1"/>
    <row r="376" s="108" customFormat="1"/>
    <row r="377" s="108" customFormat="1"/>
    <row r="378" s="108" customFormat="1"/>
    <row r="379" s="108" customFormat="1"/>
    <row r="380" s="108" customFormat="1"/>
    <row r="381" s="108" customFormat="1"/>
    <row r="382" s="108" customFormat="1"/>
    <row r="383" s="108" customFormat="1"/>
    <row r="384" s="108" customFormat="1"/>
    <row r="385" s="108" customFormat="1"/>
    <row r="386" s="108" customFormat="1"/>
    <row r="387" s="108" customFormat="1"/>
    <row r="388" s="108" customFormat="1"/>
    <row r="389" s="108" customFormat="1"/>
    <row r="390" s="108" customFormat="1"/>
    <row r="391" s="108" customFormat="1"/>
    <row r="392" s="108" customFormat="1"/>
    <row r="393" s="108" customFormat="1"/>
    <row r="394" s="108" customFormat="1"/>
    <row r="395" s="108" customFormat="1"/>
    <row r="396" s="108" customFormat="1"/>
    <row r="397" s="108" customFormat="1"/>
    <row r="398" s="108" customFormat="1"/>
    <row r="399" s="108" customFormat="1"/>
    <row r="400" s="108" customFormat="1"/>
    <row r="401" s="108" customFormat="1"/>
    <row r="402" s="108" customFormat="1"/>
    <row r="403" s="108" customFormat="1"/>
    <row r="404" s="108" customFormat="1"/>
    <row r="405" s="108" customFormat="1"/>
    <row r="406" s="108" customFormat="1"/>
    <row r="407" s="108" customFormat="1"/>
    <row r="408" s="108" customFormat="1"/>
    <row r="409" s="108" customFormat="1"/>
    <row r="410" s="108" customFormat="1"/>
    <row r="411" s="108" customFormat="1"/>
    <row r="412" s="108" customFormat="1"/>
  </sheetData>
  <sheetProtection algorithmName="SHA-512" hashValue="yCLZvbAsv7T4wqrx/sUtpw4zAPc+tSQw1SFVAj4Fo5XPxPJ0K2uZRAv3qs1VBfuJaR54C1YsiZVwVNUJ5RbKkQ==" saltValue="1ChjJVN666qng8khuYjq2A==" spinCount="100000" sheet="1" objects="1" scenarios="1" sort="0" autoFilter="0"/>
  <mergeCells count="26">
    <mergeCell ref="I1:R1"/>
    <mergeCell ref="A1:H1"/>
    <mergeCell ref="A38:H38"/>
    <mergeCell ref="A24:H24"/>
    <mergeCell ref="I24:R24"/>
    <mergeCell ref="B2:B3"/>
    <mergeCell ref="C2:H2"/>
    <mergeCell ref="I2:R2"/>
    <mergeCell ref="A51:H51"/>
    <mergeCell ref="A73:H73"/>
    <mergeCell ref="I51:R51"/>
    <mergeCell ref="I73:R73"/>
    <mergeCell ref="A25:H25"/>
    <mergeCell ref="I25:R25"/>
    <mergeCell ref="I38:R38"/>
    <mergeCell ref="A86:H86"/>
    <mergeCell ref="I86:R86"/>
    <mergeCell ref="A64:B64"/>
    <mergeCell ref="C64:H64"/>
    <mergeCell ref="I64:R64"/>
    <mergeCell ref="V38:V39"/>
    <mergeCell ref="V51:V52"/>
    <mergeCell ref="V73:V74"/>
    <mergeCell ref="V86:V87"/>
    <mergeCell ref="T24:U25"/>
    <mergeCell ref="V24:V25"/>
  </mergeCells>
  <phoneticPr fontId="26" type="noConversion"/>
  <conditionalFormatting sqref="V1:V1048576">
    <cfRule type="cellIs" dxfId="19" priority="1" operator="greaterThan">
      <formula>0</formula>
    </cfRule>
    <cfRule type="cellIs" dxfId="18" priority="2" operator="lessThan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Valeur invalide" error="Veuillez choisir une variable dans la liste." xr:uid="{BE3D3F14-42C3-4F44-A2F2-4E69D5FA1B87}">
          <x14:formula1>
            <xm:f>Listes!$F$2:$F$46</xm:f>
          </x14:formula1>
          <xm:sqref>A4:A18 A20:A22</xm:sqref>
        </x14:dataValidation>
        <x14:dataValidation type="list" allowBlank="1" showInputMessage="1" showErrorMessage="1" errorTitle="Valeur invalide" error="Veuillez choisir une variable dans la liste." xr:uid="{481B585D-1AE2-429A-91B6-A8262E4540F7}">
          <x14:formula1>
            <xm:f>Listes!$F$2:$F$50</xm:f>
          </x14:formula1>
          <xm:sqref>A19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EA6E7-5877-495C-A2F3-CDD9F657ED0D}">
  <dimension ref="A1:G16"/>
  <sheetViews>
    <sheetView workbookViewId="0">
      <selection activeCell="C4" sqref="C4"/>
    </sheetView>
  </sheetViews>
  <sheetFormatPr baseColWidth="10" defaultRowHeight="15.05"/>
  <cols>
    <col min="1" max="1" width="9.21875" customWidth="1"/>
    <col min="2" max="2" width="33.33203125" customWidth="1"/>
    <col min="3" max="3" width="20.33203125" customWidth="1"/>
    <col min="4" max="5" width="16.6640625" customWidth="1"/>
    <col min="6" max="6" width="20.33203125" customWidth="1"/>
    <col min="7" max="7" width="25.88671875" customWidth="1"/>
  </cols>
  <sheetData>
    <row r="1" spans="1:7" ht="18.2">
      <c r="A1" s="397" t="str">
        <f>"ANALYSE PARETO (année "&amp;'1. DONNEES DE BASE'!B1&amp;" — Produits par Chiffre d'Affaires (décroissant))"</f>
        <v>ANALYSE PARETO (année 2026 — Produits par Chiffre d'Affaires (décroissant))</v>
      </c>
      <c r="B1" s="297"/>
      <c r="C1" s="297"/>
      <c r="D1" s="297"/>
      <c r="E1" s="297"/>
      <c r="F1" s="297"/>
      <c r="G1" s="297"/>
    </row>
    <row r="2" spans="1:7">
      <c r="A2" s="297"/>
      <c r="B2" s="297"/>
      <c r="C2" s="297"/>
      <c r="D2" s="297"/>
      <c r="E2" s="297"/>
      <c r="F2" s="297"/>
      <c r="G2" s="297"/>
    </row>
    <row r="3" spans="1:7">
      <c r="A3" s="149" t="s">
        <v>437</v>
      </c>
      <c r="B3" s="150" t="s">
        <v>379</v>
      </c>
      <c r="C3" s="149" t="s">
        <v>438</v>
      </c>
      <c r="D3" s="149" t="s">
        <v>439</v>
      </c>
      <c r="E3" s="149" t="s">
        <v>440</v>
      </c>
      <c r="F3" s="149" t="s">
        <v>448</v>
      </c>
      <c r="G3" s="149" t="s">
        <v>449</v>
      </c>
    </row>
    <row r="4" spans="1:7">
      <c r="A4" s="297" cm="1">
        <f t="array" aca="1" ref="A4:A9" ca="1">IFERROR(_xlfn.SEQUENCE(ROWS(_xlfn.ANCHORARRAY(B4))),"")</f>
        <v>1</v>
      </c>
      <c r="B4" s="297" t="str" cm="1">
        <f t="array" aca="1" ref="B4:B9" ca="1">IFERROR(INDEX(_xlfn._xlws.SORT(_xlfn._xlws.FILTER(CHOOSE({1,2},TRANSPOSE('5. RESUME GAMME - CACV'!C4:R4),TRANSPOSE('5. RESUME GAMME - CACV'!C60:R60)),(TRANSPOSE('5. RESUME GAMME - CACV'!C60:R60)&gt;0)*(TRANSPOSE('5. RESUME GAMME - CACV'!C4:R4)&lt;&gt;"")),2,-1),,1),"")</f>
        <v>Bolognaise</v>
      </c>
      <c r="C4" s="398" cm="1">
        <f t="array" aca="1" ref="C4:C9" ca="1">IFERROR(INDEX(_xlfn._xlws.SORT(_xlfn._xlws.FILTER(CHOOSE({1,2},TRANSPOSE('5. RESUME GAMME - CACV'!C4:R4),TRANSPOSE('5. RESUME GAMME - CACV'!C60:R60)),(TRANSPOSE('5. RESUME GAMME - CACV'!C60:R60)&gt;0)*(TRANSPOSE('5. RESUME GAMME - CACV'!C4:R4)&lt;&gt;"")),2,-1),,2),"")</f>
        <v>2123.3962264150941</v>
      </c>
      <c r="D4" s="399" cm="1">
        <f t="array" aca="1" ref="D4:D9" ca="1">IFERROR(_xlfn.ANCHORARRAY(C4)/SUM(_xlfn.ANCHORARRAY(C4)),"")</f>
        <v>0.60461493002390754</v>
      </c>
      <c r="E4" s="399" cm="1">
        <f t="array" aca="1" ref="E4:E9" ca="1">IFERROR(_xlfn.SCAN(0,_xlfn.ANCHORARRAY(D4),_xlfn.LAMBDA(_xlpm.a,_xlpm.b,_xlpm.a+_xlpm.b)),"")</f>
        <v>0.60461493002390754</v>
      </c>
      <c r="F4" s="400" cm="1">
        <f t="array" aca="1" ref="F4:F9" ca="1">IFERROR(IF(_xlfn.ANCHORARRAY(B4)="","",_xlfn.XLOOKUP(_xlfn.ANCHORARRAY(B4),'5. RESUME GAMME - CACV'!$C$4:$R$4,'5. RESUME GAMME - CACV'!$C$66:$R$66)),"")</f>
        <v>0.71294341417372586</v>
      </c>
      <c r="G4" s="401" cm="1">
        <f t="array" aca="1" ref="G4:G9" ca="1">IFERROR(IF(_xlfn.ANCHORARRAY(B4)="","",_xlfn.XLOOKUP(_xlfn.ANCHORARRAY(B4),'5. RESUME GAMME - CACV'!$C$4:$R$4,'5. RESUME GAMME - CACV'!$C$71:$R$71)),"")</f>
        <v>157.69389117749824</v>
      </c>
    </row>
    <row r="5" spans="1:7">
      <c r="A5" s="297">
        <f ca="1"/>
        <v>2</v>
      </c>
      <c r="B5" s="297" t="str">
        <f ca="1"/>
        <v>Coulis de tomate</v>
      </c>
      <c r="C5" s="402">
        <f ca="1"/>
        <v>296.3962264150943</v>
      </c>
      <c r="D5" s="403">
        <f ca="1"/>
        <v>8.4395734278883625E-2</v>
      </c>
      <c r="E5" s="403">
        <f ca="1"/>
        <v>0.68901066430279112</v>
      </c>
      <c r="F5" s="400">
        <f ca="1"/>
        <v>0.7231652639322117</v>
      </c>
      <c r="G5" s="404">
        <f ca="1"/>
        <v>66.982329782494759</v>
      </c>
    </row>
    <row r="6" spans="1:7">
      <c r="A6" s="297">
        <f ca="1"/>
        <v>3</v>
      </c>
      <c r="B6" s="297" t="str">
        <f ca="1"/>
        <v>Pickels légumes</v>
      </c>
      <c r="C6" s="402">
        <f ca="1"/>
        <v>296.3962264150943</v>
      </c>
      <c r="D6" s="403">
        <f ca="1"/>
        <v>8.4395734278883625E-2</v>
      </c>
      <c r="E6" s="403">
        <f ca="1"/>
        <v>0.7734063985816747</v>
      </c>
      <c r="F6" s="400">
        <f ca="1"/>
        <v>0.7231652639322117</v>
      </c>
      <c r="G6" s="297">
        <f ca="1"/>
        <v>40.189397869496858</v>
      </c>
    </row>
    <row r="7" spans="1:7">
      <c r="A7" s="297">
        <f ca="1"/>
        <v>4</v>
      </c>
      <c r="B7" s="297" t="str">
        <f ca="1"/>
        <v>Potage legume feuille</v>
      </c>
      <c r="C7" s="402">
        <f ca="1"/>
        <v>296.3962264150943</v>
      </c>
      <c r="D7" s="403">
        <f ca="1"/>
        <v>8.4395734278883625E-2</v>
      </c>
      <c r="E7" s="403">
        <f ca="1"/>
        <v>0.85780213286055829</v>
      </c>
      <c r="F7" s="400">
        <f ca="1"/>
        <v>0.7231652639322117</v>
      </c>
      <c r="G7" s="297">
        <f ca="1"/>
        <v>28.706712763926326</v>
      </c>
    </row>
    <row r="8" spans="1:7">
      <c r="A8" s="297">
        <f ca="1"/>
        <v>5</v>
      </c>
      <c r="B8" s="297" t="str">
        <f ca="1"/>
        <v>Chutney carottes</v>
      </c>
      <c r="C8" s="402">
        <f ca="1"/>
        <v>296.3962264150943</v>
      </c>
      <c r="D8" s="403">
        <f ca="1"/>
        <v>8.4395734278883625E-2</v>
      </c>
      <c r="E8" s="403">
        <f ca="1"/>
        <v>0.94219786713944187</v>
      </c>
      <c r="F8" s="400">
        <f ca="1"/>
        <v>0.7231652639322117</v>
      </c>
      <c r="G8" s="297">
        <f ca="1"/>
        <v>18.267908122498572</v>
      </c>
    </row>
    <row r="9" spans="1:7">
      <c r="A9" s="297">
        <f ca="1"/>
        <v>6</v>
      </c>
      <c r="B9" s="297" t="str">
        <f ca="1"/>
        <v>Marmelade agrumes</v>
      </c>
      <c r="C9" s="402">
        <f ca="1"/>
        <v>202.99999999999997</v>
      </c>
      <c r="D9" s="403">
        <f ca="1"/>
        <v>5.7802132860558207E-2</v>
      </c>
      <c r="E9" s="403">
        <f ca="1"/>
        <v>1</v>
      </c>
      <c r="F9" s="400">
        <f ca="1"/>
        <v>0.71128511220580193</v>
      </c>
      <c r="G9" s="297">
        <f ca="1"/>
        <v>33.841611979166665</v>
      </c>
    </row>
    <row r="10" spans="1:7">
      <c r="A10" s="297" t="str" cm="1">
        <f t="array" ref="A10">IFERROR(_xlfn.SEQUENCE(ROWS(_xlfn.ANCHORARRAY(B10))),"")</f>
        <v/>
      </c>
      <c r="B10" s="297"/>
      <c r="C10" s="297"/>
      <c r="D10" s="297"/>
      <c r="E10" s="297"/>
      <c r="F10" s="297"/>
      <c r="G10" s="297"/>
    </row>
    <row r="11" spans="1:7">
      <c r="A11" s="297"/>
      <c r="B11" s="297"/>
      <c r="C11" s="297"/>
      <c r="D11" s="297"/>
      <c r="E11" s="297"/>
      <c r="F11" s="297"/>
      <c r="G11" s="297"/>
    </row>
    <row r="12" spans="1:7">
      <c r="A12" s="297"/>
      <c r="B12" s="297"/>
      <c r="C12" s="297"/>
      <c r="D12" s="297"/>
      <c r="E12" s="297"/>
      <c r="F12" s="297"/>
      <c r="G12" s="297"/>
    </row>
    <row r="13" spans="1:7">
      <c r="A13" s="297"/>
      <c r="B13" s="297"/>
      <c r="C13" s="297"/>
      <c r="D13" s="297"/>
      <c r="E13" s="297"/>
      <c r="F13" s="297"/>
      <c r="G13" s="297"/>
    </row>
    <row r="14" spans="1:7">
      <c r="A14" s="297"/>
      <c r="B14" s="297"/>
      <c r="C14" s="297"/>
      <c r="D14" s="297"/>
      <c r="E14" s="297"/>
      <c r="F14" s="297"/>
      <c r="G14" s="297"/>
    </row>
    <row r="15" spans="1:7">
      <c r="A15" s="297"/>
      <c r="B15" s="297"/>
      <c r="C15" s="297"/>
      <c r="D15" s="297"/>
      <c r="E15" s="297"/>
      <c r="F15" s="297"/>
      <c r="G15" s="297"/>
    </row>
    <row r="16" spans="1:7">
      <c r="A16" s="297" t="str" cm="1">
        <f t="array" ref="A16">IFERROR(_xlfn.SEQUENCE(ROWS(_xlfn.ANCHORARRAY(B16))),"")</f>
        <v/>
      </c>
      <c r="B16" s="297"/>
      <c r="C16" s="297"/>
      <c r="D16" s="297"/>
      <c r="E16" s="297"/>
      <c r="F16" s="297"/>
      <c r="G16" s="297"/>
    </row>
  </sheetData>
  <sheetProtection algorithmName="SHA-512" hashValue="FtvUZk49z6RO+SZ19FXsDpfg8mTyiQg78snF/wnQKJGdXJULx9U3RUPSjPIguMLzE+OGXMNmq1FkgXpbS9C05A==" saltValue="P1e4IQ9KhtyUfI9zjkHdDg==" spinCount="100000" sheet="1" objects="1" scenarios="1" sort="0" autoFilter="0"/>
  <conditionalFormatting sqref="A4:E100">
    <cfRule type="expression" dxfId="17" priority="1">
      <formula>AND($E4&lt;&gt;"",$E4&lt;=0.8)</formula>
    </cfRule>
  </conditionalFormatting>
  <conditionalFormatting sqref="C4:C100">
    <cfRule type="dataBar" priority="2">
      <dataBar>
        <cfvo type="min"/>
        <cfvo type="max"/>
        <color rgb="FFA9D08E"/>
      </dataBar>
      <extLst>
        <ext xmlns:x14="http://schemas.microsoft.com/office/spreadsheetml/2009/9/main" uri="{B025F937-C7B1-47D3-B67F-A62EFF666E3E}">
          <x14:id>{CE70BD00-3726-46F7-A47E-ECF39E99E4EA}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E70BD00-3726-46F7-A47E-ECF39E99E4EA}">
            <x14:dataBar minLength="0" maxLength="100" direction="leftToRight" negativeBarColorSameAsPositive="1" axisPosition="none">
              <x14:cfvo type="min"/>
              <x14:cfvo type="max"/>
            </x14:dataBar>
          </x14:cfRule>
          <xm:sqref>C4:C100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D780D-413C-4D05-A762-40FEEE4AA29B}">
  <dimension ref="A1:C17"/>
  <sheetViews>
    <sheetView topLeftCell="A10" workbookViewId="0">
      <selection activeCell="C30" sqref="C30"/>
    </sheetView>
  </sheetViews>
  <sheetFormatPr baseColWidth="10" defaultRowHeight="15.05"/>
  <cols>
    <col min="1" max="1" width="27.77734375" style="700" customWidth="1"/>
    <col min="2" max="2" width="20.33203125" style="700" customWidth="1"/>
    <col min="3" max="3" width="16.6640625" style="700" customWidth="1"/>
    <col min="4" max="16384" width="11.5546875" style="700"/>
  </cols>
  <sheetData>
    <row r="1" spans="1:3">
      <c r="A1" s="704" t="s">
        <v>379</v>
      </c>
      <c r="B1" s="704" t="s">
        <v>438</v>
      </c>
      <c r="C1" s="704" t="s">
        <v>440</v>
      </c>
    </row>
    <row r="2" spans="1:3">
      <c r="A2" s="703" t="str">
        <f ca="1">IFERROR(IF('6. Analyse Pareto'!B4="","",'6. Analyse Pareto'!B4),"")</f>
        <v>Bolognaise</v>
      </c>
      <c r="B2" s="702">
        <f ca="1">IFERROR(IF('6. Analyse Pareto'!B4="",NA(),'6. Analyse Pareto'!C4),NA())</f>
        <v>2123.3962264150941</v>
      </c>
      <c r="C2" s="701">
        <f ca="1">IFERROR(IF('6. Analyse Pareto'!B4="",NA(),'6. Analyse Pareto'!E4),NA())</f>
        <v>0.60461493002390754</v>
      </c>
    </row>
    <row r="3" spans="1:3">
      <c r="A3" s="703" t="str">
        <f ca="1">IFERROR(IF('6. Analyse Pareto'!B5="","",'6. Analyse Pareto'!B5),"")</f>
        <v>Coulis de tomate</v>
      </c>
      <c r="B3" s="702">
        <f ca="1">IFERROR(IF('6. Analyse Pareto'!B5="",NA(),'6. Analyse Pareto'!C5),NA())</f>
        <v>296.3962264150943</v>
      </c>
      <c r="C3" s="701">
        <f ca="1">IFERROR(IF('6. Analyse Pareto'!B5="",NA(),'6. Analyse Pareto'!E5),NA())</f>
        <v>0.68901066430279112</v>
      </c>
    </row>
    <row r="4" spans="1:3">
      <c r="A4" s="703" t="str">
        <f ca="1">IFERROR(IF('6. Analyse Pareto'!B6="","",'6. Analyse Pareto'!B6),"")</f>
        <v>Pickels légumes</v>
      </c>
      <c r="B4" s="702">
        <f ca="1">IFERROR(IF('6. Analyse Pareto'!B6="",NA(),'6. Analyse Pareto'!C6),NA())</f>
        <v>296.3962264150943</v>
      </c>
      <c r="C4" s="701">
        <f ca="1">IFERROR(IF('6. Analyse Pareto'!B6="",NA(),'6. Analyse Pareto'!E6),NA())</f>
        <v>0.7734063985816747</v>
      </c>
    </row>
    <row r="5" spans="1:3">
      <c r="A5" s="703" t="str">
        <f ca="1">IFERROR(IF('6. Analyse Pareto'!B7="","",'6. Analyse Pareto'!B7),"")</f>
        <v>Potage legume feuille</v>
      </c>
      <c r="B5" s="702">
        <f ca="1">IFERROR(IF('6. Analyse Pareto'!B7="",NA(),'6. Analyse Pareto'!C7),NA())</f>
        <v>296.3962264150943</v>
      </c>
      <c r="C5" s="701">
        <f ca="1">IFERROR(IF('6. Analyse Pareto'!B7="",NA(),'6. Analyse Pareto'!E7),NA())</f>
        <v>0.85780213286055829</v>
      </c>
    </row>
    <row r="6" spans="1:3">
      <c r="A6" s="703" t="str">
        <f ca="1">IFERROR(IF('6. Analyse Pareto'!B8="","",'6. Analyse Pareto'!B8),"")</f>
        <v>Chutney carottes</v>
      </c>
      <c r="B6" s="702">
        <f ca="1">IFERROR(IF('6. Analyse Pareto'!B8="",NA(),'6. Analyse Pareto'!C8),NA())</f>
        <v>296.3962264150943</v>
      </c>
      <c r="C6" s="701">
        <f ca="1">IFERROR(IF('6. Analyse Pareto'!B8="",NA(),'6. Analyse Pareto'!E8),NA())</f>
        <v>0.94219786713944187</v>
      </c>
    </row>
    <row r="7" spans="1:3">
      <c r="A7" s="703" t="str">
        <f ca="1">IFERROR(IF('6. Analyse Pareto'!B9="","",'6. Analyse Pareto'!B9),"")</f>
        <v>Marmelade agrumes</v>
      </c>
      <c r="B7" s="702">
        <f ca="1">IFERROR(IF('6. Analyse Pareto'!B9="",NA(),'6. Analyse Pareto'!C9),NA())</f>
        <v>202.99999999999997</v>
      </c>
      <c r="C7" s="701">
        <f ca="1">IFERROR(IF('6. Analyse Pareto'!B9="",NA(),'6. Analyse Pareto'!E9),NA())</f>
        <v>1</v>
      </c>
    </row>
    <row r="8" spans="1:3">
      <c r="A8" s="703" t="str">
        <f>IFERROR(IF('6. Analyse Pareto'!B10="","",'6. Analyse Pareto'!B10),"")</f>
        <v/>
      </c>
      <c r="B8" s="702" t="e">
        <f>IFERROR(IF('6. Analyse Pareto'!B10="",NA(),'6. Analyse Pareto'!C10),NA())</f>
        <v>#N/A</v>
      </c>
      <c r="C8" s="701" t="e">
        <f>IFERROR(IF('6. Analyse Pareto'!B10="",NA(),'6. Analyse Pareto'!E10),NA())</f>
        <v>#N/A</v>
      </c>
    </row>
    <row r="9" spans="1:3">
      <c r="A9" s="703" t="str">
        <f>IFERROR(IF('6. Analyse Pareto'!B11="","",'6. Analyse Pareto'!B11),"")</f>
        <v/>
      </c>
      <c r="B9" s="702" t="e">
        <f>IFERROR(IF('6. Analyse Pareto'!B11="",NA(),'6. Analyse Pareto'!C11),NA())</f>
        <v>#N/A</v>
      </c>
      <c r="C9" s="701" t="e">
        <f>IFERROR(IF('6. Analyse Pareto'!B11="",NA(),'6. Analyse Pareto'!E11),NA())</f>
        <v>#N/A</v>
      </c>
    </row>
    <row r="10" spans="1:3">
      <c r="A10" s="703" t="str">
        <f>IFERROR(IF('6. Analyse Pareto'!B12="","",'6. Analyse Pareto'!B12),"")</f>
        <v/>
      </c>
      <c r="B10" s="702" t="e">
        <f>IFERROR(IF('6. Analyse Pareto'!B12="",NA(),'6. Analyse Pareto'!C12),NA())</f>
        <v>#N/A</v>
      </c>
      <c r="C10" s="701" t="e">
        <f>IFERROR(IF('6. Analyse Pareto'!B12="",NA(),'6. Analyse Pareto'!E12),NA())</f>
        <v>#N/A</v>
      </c>
    </row>
    <row r="11" spans="1:3">
      <c r="A11" s="703" t="str">
        <f>IFERROR(IF('6. Analyse Pareto'!B13="","",'6. Analyse Pareto'!B13),"")</f>
        <v/>
      </c>
      <c r="B11" s="702" t="e">
        <f>IFERROR(IF('6. Analyse Pareto'!B13="",NA(),'6. Analyse Pareto'!C13),NA())</f>
        <v>#N/A</v>
      </c>
      <c r="C11" s="701" t="e">
        <f>IFERROR(IF('6. Analyse Pareto'!B13="",NA(),'6. Analyse Pareto'!E13),NA())</f>
        <v>#N/A</v>
      </c>
    </row>
    <row r="12" spans="1:3">
      <c r="A12" s="703" t="str">
        <f>IFERROR(IF('6. Analyse Pareto'!B14="","",'6. Analyse Pareto'!B14),"")</f>
        <v/>
      </c>
      <c r="B12" s="702" t="e">
        <f>IFERROR(IF('6. Analyse Pareto'!B14="",NA(),'6. Analyse Pareto'!C14),NA())</f>
        <v>#N/A</v>
      </c>
      <c r="C12" s="701" t="e">
        <f>IFERROR(IF('6. Analyse Pareto'!B14="",NA(),'6. Analyse Pareto'!E14),NA())</f>
        <v>#N/A</v>
      </c>
    </row>
    <row r="13" spans="1:3">
      <c r="A13" s="703" t="str">
        <f>IFERROR(IF('6. Analyse Pareto'!B15="","",'6. Analyse Pareto'!B15),"")</f>
        <v/>
      </c>
      <c r="B13" s="702" t="e">
        <f>IFERROR(IF('6. Analyse Pareto'!B15="",NA(),'6. Analyse Pareto'!C15),NA())</f>
        <v>#N/A</v>
      </c>
      <c r="C13" s="701" t="e">
        <f>IFERROR(IF('6. Analyse Pareto'!B15="",NA(),'6. Analyse Pareto'!E15),NA())</f>
        <v>#N/A</v>
      </c>
    </row>
    <row r="14" spans="1:3">
      <c r="A14" s="703" t="str">
        <f>IFERROR(IF('6. Analyse Pareto'!B16="","",'6. Analyse Pareto'!B16),"")</f>
        <v/>
      </c>
      <c r="B14" s="702" t="e">
        <f>IFERROR(IF('6. Analyse Pareto'!B16="",NA(),'6. Analyse Pareto'!C16),NA())</f>
        <v>#N/A</v>
      </c>
      <c r="C14" s="701" t="e">
        <f>IFERROR(IF('6. Analyse Pareto'!B16="",NA(),'6. Analyse Pareto'!E16),NA())</f>
        <v>#N/A</v>
      </c>
    </row>
    <row r="15" spans="1:3">
      <c r="A15" s="703" t="str">
        <f>IFERROR(IF('6. Analyse Pareto'!B17="","",'6. Analyse Pareto'!B17),"")</f>
        <v/>
      </c>
      <c r="B15" s="702" t="e">
        <f>IFERROR(IF('6. Analyse Pareto'!B17="",NA(),'6. Analyse Pareto'!C17),NA())</f>
        <v>#N/A</v>
      </c>
      <c r="C15" s="701" t="e">
        <f>IFERROR(IF('6. Analyse Pareto'!B17="",NA(),'6. Analyse Pareto'!E17),NA())</f>
        <v>#N/A</v>
      </c>
    </row>
    <row r="16" spans="1:3">
      <c r="A16" s="703" t="str">
        <f>IFERROR(IF('6. Analyse Pareto'!B18="","",'6. Analyse Pareto'!B18),"")</f>
        <v/>
      </c>
      <c r="B16" s="702" t="e">
        <f>IFERROR(IF('6. Analyse Pareto'!B18="",NA(),'6. Analyse Pareto'!C18),NA())</f>
        <v>#N/A</v>
      </c>
      <c r="C16" s="701" t="e">
        <f>IFERROR(IF('6. Analyse Pareto'!B18="",NA(),'6. Analyse Pareto'!E18),NA())</f>
        <v>#N/A</v>
      </c>
    </row>
    <row r="17" spans="1:3">
      <c r="A17" s="703" t="str">
        <f>IFERROR(IF('6. Analyse Pareto'!B19="","",'6. Analyse Pareto'!B19),"")</f>
        <v/>
      </c>
      <c r="B17" s="702" t="e">
        <f>IFERROR(IF('6. Analyse Pareto'!B19="",NA(),'6. Analyse Pareto'!C19),NA())</f>
        <v>#N/A</v>
      </c>
      <c r="C17" s="701" t="e">
        <f>IFERROR(IF('6. Analyse Pareto'!B19="",NA(),'6. Analyse Pareto'!E19),NA())</f>
        <v>#N/A</v>
      </c>
    </row>
  </sheetData>
  <sheetProtection algorithmName="SHA-512" hashValue="jVkO3wcS5FIRq2AabnWsliSogzOc7qiGThB8T6rioP6EddVh3SKYCawMA4LKLlLLvhdOshcmDRlN8tPiILbjsg==" saltValue="WFqaKvJl7JrbE0j/qMZtVg==" spinCount="100000" sheet="1" objects="1" scenarios="1" sort="0" autoFilter="0"/>
  <conditionalFormatting sqref="A2:C17">
    <cfRule type="containsText" dxfId="16" priority="1" operator="containsText" text="#N/A">
      <formula>NOT(ISERROR(SEARCH("#N/A",A2)))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25</vt:i4>
      </vt:variant>
      <vt:variant>
        <vt:lpstr>Plages nommées</vt:lpstr>
      </vt:variant>
      <vt:variant>
        <vt:i4>28</vt:i4>
      </vt:variant>
    </vt:vector>
  </HeadingPairs>
  <TitlesOfParts>
    <vt:vector size="53" baseType="lpstr">
      <vt:lpstr>0. MODE D'EMPLOI</vt:lpstr>
      <vt:lpstr>1. DONNEES DE BASE</vt:lpstr>
      <vt:lpstr>2. INVEST &amp; AMORT</vt:lpstr>
      <vt:lpstr>3. TCD - Synthèse INVEST</vt:lpstr>
      <vt:lpstr>Simulateur redevance BIO</vt:lpstr>
      <vt:lpstr>4. CHARGES FIXES</vt:lpstr>
      <vt:lpstr>5. RESUME GAMME - CACV</vt:lpstr>
      <vt:lpstr>6. Analyse Pareto</vt:lpstr>
      <vt:lpstr>7. Pareto - Graphique CA</vt:lpstr>
      <vt:lpstr>8. Matrice MENU ENGINEERING</vt:lpstr>
      <vt:lpstr>9. Capacité prod mensuelle</vt:lpstr>
      <vt:lpstr>10. BESOIN RH mensuel</vt:lpstr>
      <vt:lpstr>11. Résultats</vt:lpstr>
      <vt:lpstr>12. LISTE INGREDIENTS</vt:lpstr>
      <vt:lpstr>13. LISTE CONSOMMABLES</vt:lpstr>
      <vt:lpstr>14. CALCUL IMPOT</vt:lpstr>
      <vt:lpstr>FT_PROD (1)</vt:lpstr>
      <vt:lpstr>FT_PROD (2)</vt:lpstr>
      <vt:lpstr>FT_PROD (3)</vt:lpstr>
      <vt:lpstr>FT_PROD (4)</vt:lpstr>
      <vt:lpstr>FT_PROD (5)</vt:lpstr>
      <vt:lpstr>FT_PROD (6)</vt:lpstr>
      <vt:lpstr>FT_PROD (7)</vt:lpstr>
      <vt:lpstr>FT_PROD (8)</vt:lpstr>
      <vt:lpstr>Listes</vt:lpstr>
      <vt:lpstr>'FT_PROD (2)'!ListeConsommables</vt:lpstr>
      <vt:lpstr>'FT_PROD (3)'!ListeConsommables</vt:lpstr>
      <vt:lpstr>'FT_PROD (4)'!ListeConsommables</vt:lpstr>
      <vt:lpstr>'FT_PROD (5)'!ListeConsommables</vt:lpstr>
      <vt:lpstr>'FT_PROD (6)'!ListeConsommables</vt:lpstr>
      <vt:lpstr>'FT_PROD (7)'!ListeConsommables</vt:lpstr>
      <vt:lpstr>'FT_PROD (8)'!ListeConsommables</vt:lpstr>
      <vt:lpstr>ListeConsommables</vt:lpstr>
      <vt:lpstr>'13. LISTE CONSOMMABLES'!ListeIngredients</vt:lpstr>
      <vt:lpstr>'FT_PROD (2)'!ListeIngredients</vt:lpstr>
      <vt:lpstr>'FT_PROD (3)'!ListeIngredients</vt:lpstr>
      <vt:lpstr>'FT_PROD (4)'!ListeIngredients</vt:lpstr>
      <vt:lpstr>'FT_PROD (5)'!ListeIngredients</vt:lpstr>
      <vt:lpstr>'FT_PROD (6)'!ListeIngredients</vt:lpstr>
      <vt:lpstr>'FT_PROD (7)'!ListeIngredients</vt:lpstr>
      <vt:lpstr>'FT_PROD (8)'!ListeIngredients</vt:lpstr>
      <vt:lpstr>ListeIngredients</vt:lpstr>
      <vt:lpstr>'11. Résultats'!Zone_d_impression</vt:lpstr>
      <vt:lpstr>'2. INVEST &amp; AMORT'!Zone_d_impression</vt:lpstr>
      <vt:lpstr>'4. CHARGES FIXES'!Zone_d_impression</vt:lpstr>
      <vt:lpstr>'FT_PROD (1)'!Zone_d_impression</vt:lpstr>
      <vt:lpstr>'FT_PROD (2)'!Zone_d_impression</vt:lpstr>
      <vt:lpstr>'FT_PROD (3)'!Zone_d_impression</vt:lpstr>
      <vt:lpstr>'FT_PROD (4)'!Zone_d_impression</vt:lpstr>
      <vt:lpstr>'FT_PROD (5)'!Zone_d_impression</vt:lpstr>
      <vt:lpstr>'FT_PROD (6)'!Zone_d_impression</vt:lpstr>
      <vt:lpstr>'FT_PROD (7)'!Zone_d_impression</vt:lpstr>
      <vt:lpstr>'FT_PROD (8)'!Zone_d_impression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Nyssens</dc:creator>
  <cp:lastModifiedBy>Michels François</cp:lastModifiedBy>
  <cp:lastPrinted>2026-07-16T08:36:41Z</cp:lastPrinted>
  <dcterms:created xsi:type="dcterms:W3CDTF">2025-10-15T13:45:23Z</dcterms:created>
  <dcterms:modified xsi:type="dcterms:W3CDTF">2026-07-16T08:37:43Z</dcterms:modified>
</cp:coreProperties>
</file>